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  <sheet name="грудень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<sst xmlns="http://schemas.openxmlformats.org/spreadsheetml/2006/main" count="1215" uniqueCount="225">
  <si>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</si>
  <si>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</si>
  <si>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</si>
  <si>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</si>
  <si>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</si>
  <si>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</si>
  <si>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</si>
  <si>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</si>
  <si>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</si>
  <si>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</si>
  <si>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</si>
  <si>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</si>
  <si>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</si>
  <si>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</si>
  <si>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</si>
  <si>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</si>
  <si>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</si>
  <si>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</si>
  <si>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</si>
  <si>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</si>
  <si>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</si>
  <si>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</si>
  <si>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</si>
  <si>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</si>
  <si>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</si>
  <si>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</si>
  <si>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</si>
  <si>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</si>
  <si>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</si>
  <si>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</si>
  <si>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</si>
  <si>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</si>
  <si>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</si>
  <si>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</si>
  <si>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</si>
  <si>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</si>
  <si>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</si>
  <si>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</si>
  <si>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</si>
  <si>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</si>
  <si>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</si>
  <si>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</si>
  <si>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</si>
  <si>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</si>
  <si>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</si>
  <si>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</si>
  <si>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</si>
  <si>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</si>
  <si>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</si>
  <si>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</si>
  <si>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</si>
  <si>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</si>
  <si>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</si>
  <si>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</si>
  <si>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</si>
  <si>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</si>
  <si>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</si>
  <si>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</si>
  <si>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</si>
  <si>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</si>
  <si>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</si>
  <si>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</si>
  <si>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</si>
  <si>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</si>
  <si>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</si>
  <si>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</si>
  <si>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</si>
  <si>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</si>
  <si>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</si>
  <si>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</si>
  <si>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</si>
  <si>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</si>
  <si>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</si>
  <si>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</si>
  <si>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</si>
  <si>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</si>
  <si>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</si>
  <si>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</si>
  <si>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</si>
  <si>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</si>
  <si>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</si>
  <si>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</si>
  <si>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</si>
  <si>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</si>
  <si>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</si>
  <si>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</si>
  <si>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</si>
  <si>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</si>
  <si>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</si>
  <si>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</si>
  <si>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</si>
  <si>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</si>
  <si>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</si>
  <si>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</si>
  <si>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</si>
  <si>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</si>
  <si>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</si>
  <si>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</si>
  <si>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</si>
  <si>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</si>
  <si>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</si>
  <si>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</si>
  <si>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</si>
  <si>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</si>
  <si>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</si>
  <si>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</si>
  <si>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</si>
  <si>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</si>
  <si>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</si>
  <si>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</si>
  <si>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</si>
  <si>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</si>
  <si>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</si>
  <si>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</si>
  <si>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</si>
  <si>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</si>
  <si>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</si>
  <si>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</si>
  <si>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</si>
  <si>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</si>
  <si>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</si>
  <si>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</si>
  <si>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</si>
  <si>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</si>
  <si>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</si>
  <si>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</si>
  <si>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</si>
  <si>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</si>
  <si>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</si>
  <si>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</si>
  <si>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</si>
  <si>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</si>
  <si>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</si>
  <si>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</si>
  <si>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</si>
  <si>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</si>
  <si>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</si>
  <si>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</si>
  <si>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</si>
  <si>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</si>
  <si>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</si>
  <si>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</si>
  <si>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</si>
  <si>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</si>
  <si>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</si>
  <si>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</si>
  <si>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</si>
  <si>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</si>
  <si>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</si>
  <si>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</si>
  <si>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</si>
  <si>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</si>
  <si>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</si>
  <si>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</si>
  <si>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</si>
  <si>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</si>
  <si>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</si>
  <si>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</si>
  <si>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</si>
  <si>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</si>
  <si>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</si>
  <si>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</si>
  <si>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</si>
  <si>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</si>
  <si>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</si>
  <si>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</si>
  <si>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</si>
  <si>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</si>
  <si>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</si>
  <si>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</si>
  <si>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</si>
  <si>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</si>
  <si>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</si>
  <si>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</si>
  <si>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</si>
  <si>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</si>
  <si>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</si>
  <si>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</si>
  <si>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</si>
  <si>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</si>
  <si>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</si>
  <si>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</si>
  <si>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</si>
  <si>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</si>
  <si>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</si>
  <si>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</si>
  <si>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</si>
  <si>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</si>
  <si>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</si>
  <si>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</si>
  <si>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</si>
  <si>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</si>
  <si>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</si>
  <si>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</si>
  <si>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</si>
  <si>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</si>
  <si>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</si>
  <si>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</si>
  <si>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</si>
  <si>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</si>
  <si>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</si>
  <si>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</si>
  <si>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</si>
  <si>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</si>
  <si>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</si>
  <si>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</si>
  <si>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</si>
  <si>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</si>
  <si>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</si>
  <si>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</si>
  <si>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</si>
  <si>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</si>
  <si>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</si>
  <si>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</si>
  <si>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</si>
  <si>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</si>
  <si>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</si>
  <si>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</si>
  <si>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</si>
  <si>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</si>
  <si>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</si>
  <si>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</si>
  <si>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</si>
  <si>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</si>
  <si>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03.07.17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</si>
</sst>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G6">
            <v>198.58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223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218</v>
      </c>
      <c r="O3" s="331" t="s">
        <v>220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219</v>
      </c>
      <c r="F4" s="314" t="s">
        <v>33</v>
      </c>
      <c r="G4" s="305" t="s">
        <v>221</v>
      </c>
      <c r="H4" s="316" t="s">
        <v>222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224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214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612561.38</v>
      </c>
      <c r="G8" s="151">
        <f aca="true" t="shared" si="0" ref="G8:G40">F8-E8</f>
        <v>-114778.81999999995</v>
      </c>
      <c r="H8" s="152">
        <f>F8/E8*100</f>
        <v>84.21937629736401</v>
      </c>
      <c r="I8" s="153">
        <f>F8-D8</f>
        <v>-685889.7200000001</v>
      </c>
      <c r="J8" s="153">
        <f>F8/D8*100</f>
        <v>47.17631491859801</v>
      </c>
      <c r="K8" s="151">
        <v>465511.42</v>
      </c>
      <c r="L8" s="151">
        <f aca="true" t="shared" si="1" ref="L8:L54">F8-K8</f>
        <v>147049.96000000002</v>
      </c>
      <c r="M8" s="205">
        <f aca="true" t="shared" si="2" ref="M8:M31">F8/K8</f>
        <v>1.3158890495103215</v>
      </c>
      <c r="N8" s="151">
        <f>N9+N15+N18+N19+N23+N17</f>
        <v>118464.60000000003</v>
      </c>
      <c r="O8" s="151">
        <f>O9+O15+O18+O19+O23+O17</f>
        <v>3091.260000000002</v>
      </c>
      <c r="P8" s="151">
        <f>O8-N8</f>
        <v>-115373.34000000003</v>
      </c>
      <c r="Q8" s="151">
        <f>O8/N8*100</f>
        <v>2.6094377560891617</v>
      </c>
      <c r="R8" s="15">
        <f>R9+R15+R18+R19+R23</f>
        <v>102514</v>
      </c>
      <c r="S8" s="15">
        <f>O8-R8</f>
        <v>-99422.73999999999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353105.25</v>
      </c>
      <c r="G9" s="150">
        <f t="shared" si="0"/>
        <v>-63434.75</v>
      </c>
      <c r="H9" s="157">
        <f>F9/E9*100</f>
        <v>84.77103039323954</v>
      </c>
      <c r="I9" s="158">
        <f>F9-D9</f>
        <v>-413539.75</v>
      </c>
      <c r="J9" s="158">
        <f>F9/D9*100</f>
        <v>46.05850817523104</v>
      </c>
      <c r="K9" s="227">
        <v>261442.54</v>
      </c>
      <c r="L9" s="159">
        <f t="shared" si="1"/>
        <v>91662.70999999999</v>
      </c>
      <c r="M9" s="206">
        <f t="shared" si="2"/>
        <v>1.3506036546309563</v>
      </c>
      <c r="N9" s="157">
        <f>E9-червень!E9</f>
        <v>67300</v>
      </c>
      <c r="O9" s="160">
        <f>F9-червень!F9</f>
        <v>1562.8699999999953</v>
      </c>
      <c r="P9" s="161">
        <f>O9-N9</f>
        <v>-65737.13</v>
      </c>
      <c r="Q9" s="158">
        <f>O9/N9*100</f>
        <v>2.3222436849925634</v>
      </c>
      <c r="R9" s="100">
        <v>71000</v>
      </c>
      <c r="S9" s="100">
        <f>O9-R9</f>
        <v>-69437.13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323871.35</v>
      </c>
      <c r="G10" s="103">
        <f t="shared" si="0"/>
        <v>-54736.65000000002</v>
      </c>
      <c r="H10" s="30">
        <f aca="true" t="shared" si="3" ref="H10:H39">F10/E10*100</f>
        <v>85.54265889785741</v>
      </c>
      <c r="I10" s="104">
        <f aca="true" t="shared" si="4" ref="I10:I40">F10-D10</f>
        <v>-377445.65</v>
      </c>
      <c r="J10" s="104">
        <f aca="true" t="shared" si="5" ref="J10:J39">F10/D10*100</f>
        <v>46.18045049528244</v>
      </c>
      <c r="K10" s="106">
        <v>231268.41</v>
      </c>
      <c r="L10" s="106">
        <f t="shared" si="1"/>
        <v>92602.93999999997</v>
      </c>
      <c r="M10" s="207">
        <f t="shared" si="2"/>
        <v>1.4004132687209636</v>
      </c>
      <c r="N10" s="105">
        <f>E10-червень!E10</f>
        <v>60544</v>
      </c>
      <c r="O10" s="144">
        <f>F10-червень!F10</f>
        <v>1326.5899999999674</v>
      </c>
      <c r="P10" s="106">
        <f aca="true" t="shared" si="6" ref="P10:P40">O10-N10</f>
        <v>-59217.41000000003</v>
      </c>
      <c r="Q10" s="104">
        <f aca="true" t="shared" si="7" ref="Q10:Q27">O10/N10*100</f>
        <v>2.191117204016859</v>
      </c>
      <c r="R10" s="37"/>
      <c r="S10" s="100">
        <f aca="true" t="shared" si="8" ref="S10:S35">O10-R10</f>
        <v>1326.5899999999674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19085.89</v>
      </c>
      <c r="G11" s="103">
        <f t="shared" si="0"/>
        <v>-7194.110000000001</v>
      </c>
      <c r="H11" s="30">
        <f t="shared" si="3"/>
        <v>72.62515220700152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E11-червень!E11</f>
        <v>4080</v>
      </c>
      <c r="O11" s="144">
        <f>F11-червень!F11</f>
        <v>0</v>
      </c>
      <c r="P11" s="106">
        <f t="shared" si="6"/>
        <v>-4080</v>
      </c>
      <c r="Q11" s="104">
        <f t="shared" si="7"/>
        <v>0</v>
      </c>
      <c r="R11" s="37"/>
      <c r="S11" s="100">
        <f t="shared" si="8"/>
        <v>0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4635.49</v>
      </c>
      <c r="G12" s="103">
        <f t="shared" si="0"/>
        <v>195.48999999999978</v>
      </c>
      <c r="H12" s="30">
        <f t="shared" si="3"/>
        <v>104.40292792792792</v>
      </c>
      <c r="I12" s="104">
        <f t="shared" si="4"/>
        <v>-3644.51</v>
      </c>
      <c r="J12" s="104">
        <f t="shared" si="5"/>
        <v>55.98417874396135</v>
      </c>
      <c r="K12" s="106">
        <v>5288.66</v>
      </c>
      <c r="L12" s="106">
        <f t="shared" si="1"/>
        <v>-653.1700000000001</v>
      </c>
      <c r="M12" s="207">
        <f t="shared" si="2"/>
        <v>0.8764961256726657</v>
      </c>
      <c r="N12" s="105">
        <f>E12-червень!E12</f>
        <v>600</v>
      </c>
      <c r="O12" s="144">
        <f>F12-червень!F12</f>
        <v>122.46000000000004</v>
      </c>
      <c r="P12" s="106">
        <f t="shared" si="6"/>
        <v>-477.53999999999996</v>
      </c>
      <c r="Q12" s="104">
        <f t="shared" si="7"/>
        <v>20.410000000000007</v>
      </c>
      <c r="R12" s="37"/>
      <c r="S12" s="100">
        <f t="shared" si="8"/>
        <v>122.46000000000004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4805</v>
      </c>
      <c r="G13" s="103">
        <f t="shared" si="0"/>
        <v>-1735</v>
      </c>
      <c r="H13" s="30">
        <f t="shared" si="3"/>
        <v>73.47094801223241</v>
      </c>
      <c r="I13" s="104">
        <f t="shared" si="4"/>
        <v>-4585</v>
      </c>
      <c r="J13" s="104">
        <f t="shared" si="5"/>
        <v>51.17145899893504</v>
      </c>
      <c r="K13" s="106">
        <v>4452.61</v>
      </c>
      <c r="L13" s="106">
        <f t="shared" si="1"/>
        <v>352.3900000000003</v>
      </c>
      <c r="M13" s="207">
        <f t="shared" si="2"/>
        <v>1.0791423457253162</v>
      </c>
      <c r="N13" s="105">
        <f>E13-червень!E13</f>
        <v>1980</v>
      </c>
      <c r="O13" s="144">
        <f>F13-червень!F13</f>
        <v>113.82999999999993</v>
      </c>
      <c r="P13" s="106">
        <f t="shared" si="6"/>
        <v>-1866.17</v>
      </c>
      <c r="Q13" s="104">
        <f t="shared" si="7"/>
        <v>5.748989898989895</v>
      </c>
      <c r="R13" s="37"/>
      <c r="S13" s="100">
        <f t="shared" si="8"/>
        <v>113.82999999999993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707.53</v>
      </c>
      <c r="G14" s="103">
        <f t="shared" si="0"/>
        <v>35.52999999999997</v>
      </c>
      <c r="H14" s="30">
        <f t="shared" si="3"/>
        <v>105.28720238095237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E14-червень!E14</f>
        <v>96</v>
      </c>
      <c r="O14" s="144">
        <f>F14-червень!F14</f>
        <v>0</v>
      </c>
      <c r="P14" s="106">
        <f t="shared" si="6"/>
        <v>-96</v>
      </c>
      <c r="Q14" s="104">
        <f t="shared" si="7"/>
        <v>0</v>
      </c>
      <c r="R14" s="37"/>
      <c r="S14" s="100">
        <f t="shared" si="8"/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E15-червень!E15</f>
        <v>0</v>
      </c>
      <c r="O15" s="168">
        <f>F15-червень!F15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E16-червень!E16</f>
        <v>0</v>
      </c>
      <c r="O16" s="168">
        <f>F16-червень!F16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E18-червень!E18</f>
        <v>0</v>
      </c>
      <c r="O18" s="168">
        <f>F18-червень!F18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54293.24</v>
      </c>
      <c r="G19" s="162">
        <f t="shared" si="0"/>
        <v>-16806.760000000002</v>
      </c>
      <c r="H19" s="164">
        <f t="shared" si="3"/>
        <v>76.36180028129395</v>
      </c>
      <c r="I19" s="165">
        <f t="shared" si="4"/>
        <v>-75706.76000000001</v>
      </c>
      <c r="J19" s="165">
        <f t="shared" si="5"/>
        <v>41.76403076923077</v>
      </c>
      <c r="K19" s="161">
        <v>44512.02</v>
      </c>
      <c r="L19" s="167">
        <f t="shared" si="1"/>
        <v>9781.220000000001</v>
      </c>
      <c r="M19" s="213">
        <f t="shared" si="2"/>
        <v>1.2197433412368166</v>
      </c>
      <c r="N19" s="164">
        <f>E19-червень!E19</f>
        <v>11500</v>
      </c>
      <c r="O19" s="168">
        <f>F19-червень!F19</f>
        <v>333.1299999999974</v>
      </c>
      <c r="P19" s="167">
        <f t="shared" si="6"/>
        <v>-11166.870000000003</v>
      </c>
      <c r="Q19" s="165">
        <f t="shared" si="7"/>
        <v>2.8967826086956294</v>
      </c>
      <c r="R19" s="294">
        <v>8800</v>
      </c>
      <c r="S19" s="100">
        <f t="shared" si="8"/>
        <v>-8466.870000000003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31240.86</v>
      </c>
      <c r="G20" s="253">
        <f t="shared" si="0"/>
        <v>-11209.14</v>
      </c>
      <c r="H20" s="195">
        <f t="shared" si="3"/>
        <v>73.59448763250883</v>
      </c>
      <c r="I20" s="254">
        <f t="shared" si="4"/>
        <v>-45259.14</v>
      </c>
      <c r="J20" s="254">
        <f t="shared" si="5"/>
        <v>40.83772549019608</v>
      </c>
      <c r="K20" s="255">
        <v>44512.02</v>
      </c>
      <c r="L20" s="166">
        <f t="shared" si="1"/>
        <v>-13271.159999999996</v>
      </c>
      <c r="M20" s="256">
        <f t="shared" si="2"/>
        <v>0.7018522187939348</v>
      </c>
      <c r="N20" s="195">
        <f>E20-червень!E20</f>
        <v>6550</v>
      </c>
      <c r="O20" s="179">
        <f>F20-червень!F20</f>
        <v>5.600000000002183</v>
      </c>
      <c r="P20" s="166">
        <f t="shared" si="6"/>
        <v>-6544.399999999998</v>
      </c>
      <c r="Q20" s="254">
        <f t="shared" si="7"/>
        <v>0.08549618320614019</v>
      </c>
      <c r="R20" s="104">
        <v>4450</v>
      </c>
      <c r="S20" s="104">
        <f t="shared" si="8"/>
        <v>-4444.399999999998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6"/>
        <v>-756.0100000000002</v>
      </c>
      <c r="Q21" s="254"/>
      <c r="R21" s="104">
        <v>900</v>
      </c>
      <c r="S21" s="104">
        <f t="shared" si="8"/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6"/>
        <v>-3866.470000000001</v>
      </c>
      <c r="Q22" s="254"/>
      <c r="R22" s="104">
        <v>3800</v>
      </c>
      <c r="S22" s="104">
        <f t="shared" si="8"/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204999.38</v>
      </c>
      <c r="G23" s="150">
        <f t="shared" si="0"/>
        <v>-34289.82000000001</v>
      </c>
      <c r="H23" s="157">
        <f t="shared" si="3"/>
        <v>85.67013471564951</v>
      </c>
      <c r="I23" s="158">
        <f t="shared" si="4"/>
        <v>-196130.71999999997</v>
      </c>
      <c r="J23" s="158">
        <f t="shared" si="5"/>
        <v>51.10545930110955</v>
      </c>
      <c r="K23" s="158">
        <v>159141.65</v>
      </c>
      <c r="L23" s="161">
        <f t="shared" si="1"/>
        <v>45857.73000000001</v>
      </c>
      <c r="M23" s="209">
        <f t="shared" si="2"/>
        <v>1.2881566830556301</v>
      </c>
      <c r="N23" s="157">
        <f>E23-червень!E23</f>
        <v>39664.600000000035</v>
      </c>
      <c r="O23" s="160">
        <f>F23-червень!F23</f>
        <v>1195.2600000000093</v>
      </c>
      <c r="P23" s="161">
        <f t="shared" si="6"/>
        <v>-38469.340000000026</v>
      </c>
      <c r="Q23" s="158">
        <f t="shared" si="7"/>
        <v>3.0134175057860366</v>
      </c>
      <c r="R23" s="288">
        <f>R24+R33+R35</f>
        <v>22714</v>
      </c>
      <c r="S23" s="294">
        <f t="shared" si="8"/>
        <v>-21518.73999999999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99975.19</v>
      </c>
      <c r="G24" s="150">
        <f t="shared" si="0"/>
        <v>-20095.709999999992</v>
      </c>
      <c r="H24" s="157">
        <f t="shared" si="3"/>
        <v>83.2634635036466</v>
      </c>
      <c r="I24" s="158">
        <f t="shared" si="4"/>
        <v>-106645.81</v>
      </c>
      <c r="J24" s="158">
        <f t="shared" si="5"/>
        <v>48.385783632835</v>
      </c>
      <c r="K24" s="158">
        <v>85994.38</v>
      </c>
      <c r="L24" s="161">
        <f t="shared" si="1"/>
        <v>13980.809999999998</v>
      </c>
      <c r="M24" s="209">
        <f t="shared" si="2"/>
        <v>1.1625781824347126</v>
      </c>
      <c r="N24" s="157">
        <f>E24-червень!E24</f>
        <v>21398</v>
      </c>
      <c r="O24" s="160">
        <f>F24-червень!F24</f>
        <v>581.5200000000041</v>
      </c>
      <c r="P24" s="161">
        <f t="shared" si="6"/>
        <v>-20816.479999999996</v>
      </c>
      <c r="Q24" s="158">
        <f t="shared" si="7"/>
        <v>2.7176371623516404</v>
      </c>
      <c r="R24" s="293">
        <f>R25+R28+R29</f>
        <v>15007</v>
      </c>
      <c r="S24" s="293">
        <f t="shared" si="8"/>
        <v>-14425.479999999996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11153.14</v>
      </c>
      <c r="G25" s="171">
        <f t="shared" si="0"/>
        <v>-4045.960000000001</v>
      </c>
      <c r="H25" s="173">
        <f t="shared" si="3"/>
        <v>73.38026593679888</v>
      </c>
      <c r="I25" s="174">
        <f t="shared" si="4"/>
        <v>-11655.86</v>
      </c>
      <c r="J25" s="174">
        <f t="shared" si="5"/>
        <v>48.8979788679907</v>
      </c>
      <c r="K25" s="175">
        <v>9233.59</v>
      </c>
      <c r="L25" s="166">
        <f t="shared" si="1"/>
        <v>1919.5499999999993</v>
      </c>
      <c r="M25" s="215">
        <f t="shared" si="2"/>
        <v>1.2078877229766536</v>
      </c>
      <c r="N25" s="195">
        <f>E25-червень!E25</f>
        <v>4810</v>
      </c>
      <c r="O25" s="179">
        <f>F25-червень!F25</f>
        <v>67.60999999999876</v>
      </c>
      <c r="P25" s="177">
        <f t="shared" si="6"/>
        <v>-4742.390000000001</v>
      </c>
      <c r="Q25" s="174">
        <f t="shared" si="7"/>
        <v>1.4056133056132798</v>
      </c>
      <c r="R25" s="104">
        <v>800</v>
      </c>
      <c r="S25" s="104">
        <f t="shared" si="8"/>
        <v>-732.3900000000012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216.23</v>
      </c>
      <c r="G26" s="198">
        <f t="shared" si="0"/>
        <v>-943.77</v>
      </c>
      <c r="H26" s="199">
        <f t="shared" si="3"/>
        <v>18.64051724137931</v>
      </c>
      <c r="I26" s="200">
        <f t="shared" si="4"/>
        <v>-1606.07</v>
      </c>
      <c r="J26" s="200">
        <f t="shared" si="5"/>
        <v>11.865774021840531</v>
      </c>
      <c r="K26" s="200">
        <v>342.1</v>
      </c>
      <c r="L26" s="200">
        <f t="shared" si="1"/>
        <v>-125.87000000000003</v>
      </c>
      <c r="M26" s="228">
        <f t="shared" si="2"/>
        <v>0.6320666471791873</v>
      </c>
      <c r="N26" s="237">
        <f>E26-червень!E26</f>
        <v>450</v>
      </c>
      <c r="O26" s="237">
        <f>F26-червень!F26</f>
        <v>2.969999999999999</v>
      </c>
      <c r="P26" s="200">
        <f t="shared" si="6"/>
        <v>-447.03</v>
      </c>
      <c r="Q26" s="200">
        <f t="shared" si="7"/>
        <v>0.6599999999999997</v>
      </c>
      <c r="R26" s="104"/>
      <c r="S26" s="104">
        <f t="shared" si="8"/>
        <v>2.969999999999999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10936.91</v>
      </c>
      <c r="G27" s="198">
        <f t="shared" si="0"/>
        <v>-3102.1900000000005</v>
      </c>
      <c r="H27" s="199">
        <f t="shared" si="3"/>
        <v>77.90321316893532</v>
      </c>
      <c r="I27" s="200">
        <f t="shared" si="4"/>
        <v>-10049.79</v>
      </c>
      <c r="J27" s="200">
        <f t="shared" si="5"/>
        <v>52.113529044585384</v>
      </c>
      <c r="K27" s="200">
        <v>8891.49</v>
      </c>
      <c r="L27" s="200">
        <f t="shared" si="1"/>
        <v>2045.42</v>
      </c>
      <c r="M27" s="228">
        <f t="shared" si="2"/>
        <v>1.2300424338327998</v>
      </c>
      <c r="N27" s="237">
        <f>E27-червень!E27</f>
        <v>4360</v>
      </c>
      <c r="O27" s="237">
        <f>F27-червень!F27</f>
        <v>64.64999999999964</v>
      </c>
      <c r="P27" s="200">
        <f t="shared" si="6"/>
        <v>-4295.35</v>
      </c>
      <c r="Q27" s="200">
        <f t="shared" si="7"/>
        <v>1.4827981651376063</v>
      </c>
      <c r="R27" s="104"/>
      <c r="S27" s="104">
        <f t="shared" si="8"/>
        <v>64.64999999999964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-82.98</v>
      </c>
      <c r="G28" s="171">
        <f t="shared" si="0"/>
        <v>-339.78000000000003</v>
      </c>
      <c r="H28" s="173">
        <f t="shared" si="3"/>
        <v>-32.31308411214953</v>
      </c>
      <c r="I28" s="174">
        <f t="shared" si="4"/>
        <v>-902.98</v>
      </c>
      <c r="J28" s="174">
        <f t="shared" si="5"/>
        <v>-10.119512195121953</v>
      </c>
      <c r="K28" s="174">
        <v>435.05</v>
      </c>
      <c r="L28" s="174">
        <f t="shared" si="1"/>
        <v>-518.03</v>
      </c>
      <c r="M28" s="212">
        <f t="shared" si="2"/>
        <v>-0.1907366969313872</v>
      </c>
      <c r="N28" s="195">
        <f>E28-червень!E28</f>
        <v>123</v>
      </c>
      <c r="O28" s="179">
        <f>F28-червень!F28</f>
        <v>6.25</v>
      </c>
      <c r="P28" s="177">
        <f t="shared" si="6"/>
        <v>-116.75</v>
      </c>
      <c r="Q28" s="174">
        <f>O28/N28*100</f>
        <v>5.08130081300813</v>
      </c>
      <c r="R28" s="104">
        <v>-25</v>
      </c>
      <c r="S28" s="104">
        <f t="shared" si="8"/>
        <v>31.25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88905.03</v>
      </c>
      <c r="G29" s="171">
        <f t="shared" si="0"/>
        <v>-15709.970000000001</v>
      </c>
      <c r="H29" s="173">
        <f t="shared" si="3"/>
        <v>84.98306170243272</v>
      </c>
      <c r="I29" s="174">
        <f t="shared" si="4"/>
        <v>-94086.97</v>
      </c>
      <c r="J29" s="174">
        <f t="shared" si="5"/>
        <v>48.5841075019673</v>
      </c>
      <c r="K29" s="175">
        <v>76325.75</v>
      </c>
      <c r="L29" s="175">
        <f t="shared" si="1"/>
        <v>12579.279999999999</v>
      </c>
      <c r="M29" s="211">
        <f t="shared" si="2"/>
        <v>1.1648104342243606</v>
      </c>
      <c r="N29" s="195">
        <f>E29-червень!E29</f>
        <v>16465</v>
      </c>
      <c r="O29" s="179">
        <f>F29-червень!F29</f>
        <v>507.6600000000035</v>
      </c>
      <c r="P29" s="177">
        <f t="shared" si="6"/>
        <v>-15957.339999999997</v>
      </c>
      <c r="Q29" s="174">
        <f>O29/N29*100</f>
        <v>3.083267537200143</v>
      </c>
      <c r="R29" s="104">
        <v>14232</v>
      </c>
      <c r="S29" s="104">
        <f t="shared" si="8"/>
        <v>-13724.339999999997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30755.91</v>
      </c>
      <c r="G30" s="198">
        <f t="shared" si="0"/>
        <v>-1959.0900000000001</v>
      </c>
      <c r="H30" s="199">
        <f t="shared" si="3"/>
        <v>94.01164603392938</v>
      </c>
      <c r="I30" s="200">
        <f t="shared" si="4"/>
        <v>-26777.09</v>
      </c>
      <c r="J30" s="200">
        <f t="shared" si="5"/>
        <v>53.45785896789669</v>
      </c>
      <c r="K30" s="200">
        <v>23736.85</v>
      </c>
      <c r="L30" s="200">
        <f t="shared" si="1"/>
        <v>7019.060000000001</v>
      </c>
      <c r="M30" s="228">
        <f t="shared" si="2"/>
        <v>1.295703094555512</v>
      </c>
      <c r="N30" s="237">
        <f>E30-червень!E30</f>
        <v>5935</v>
      </c>
      <c r="O30" s="237">
        <f>F30-червень!F30</f>
        <v>97.95999999999913</v>
      </c>
      <c r="P30" s="200">
        <f t="shared" si="6"/>
        <v>-5837.040000000001</v>
      </c>
      <c r="Q30" s="200">
        <f>O30/N30*100</f>
        <v>1.6505475989890332</v>
      </c>
      <c r="R30" s="107"/>
      <c r="S30" s="100">
        <f t="shared" si="8"/>
        <v>97.95999999999913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58149.12</v>
      </c>
      <c r="G31" s="198">
        <f t="shared" si="0"/>
        <v>-13750.879999999997</v>
      </c>
      <c r="H31" s="199">
        <f t="shared" si="3"/>
        <v>80.87499304589709</v>
      </c>
      <c r="I31" s="200">
        <f t="shared" si="4"/>
        <v>-67309.88</v>
      </c>
      <c r="J31" s="200">
        <f t="shared" si="5"/>
        <v>46.349102097099454</v>
      </c>
      <c r="K31" s="200">
        <v>52588.89</v>
      </c>
      <c r="L31" s="200">
        <f t="shared" si="1"/>
        <v>5560.230000000003</v>
      </c>
      <c r="M31" s="228">
        <f t="shared" si="2"/>
        <v>1.1057301266484234</v>
      </c>
      <c r="N31" s="237">
        <f>E31-червень!E31</f>
        <v>10530</v>
      </c>
      <c r="O31" s="237">
        <f>F31-червень!F31</f>
        <v>409.70000000000437</v>
      </c>
      <c r="P31" s="200">
        <f t="shared" si="6"/>
        <v>-10120.299999999996</v>
      </c>
      <c r="Q31" s="200">
        <f>O31/N31*100</f>
        <v>3.8907882241215987</v>
      </c>
      <c r="R31" s="107"/>
      <c r="S31" s="100">
        <f t="shared" si="8"/>
        <v>409.70000000000437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E32-червень!E32</f>
        <v>0</v>
      </c>
      <c r="O32" s="160">
        <f>F32-червень!F32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79.23</v>
      </c>
      <c r="G33" s="150">
        <f t="shared" si="0"/>
        <v>23.630000000000003</v>
      </c>
      <c r="H33" s="157">
        <f t="shared" si="3"/>
        <v>142.5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E33-червень!E33</f>
        <v>9.600000000000001</v>
      </c>
      <c r="O33" s="160">
        <f>F33-червень!F33</f>
        <v>0</v>
      </c>
      <c r="P33" s="161">
        <f t="shared" si="6"/>
        <v>-9.600000000000001</v>
      </c>
      <c r="Q33" s="158">
        <f>O33/N33*100</f>
        <v>0</v>
      </c>
      <c r="R33" s="293">
        <v>7</v>
      </c>
      <c r="S33" s="293">
        <f t="shared" si="8"/>
        <v>-7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-31.81</v>
      </c>
      <c r="G34" s="150">
        <f t="shared" si="0"/>
        <v>-31.81</v>
      </c>
      <c r="H34" s="157"/>
      <c r="I34" s="158">
        <f t="shared" si="4"/>
        <v>-31.81</v>
      </c>
      <c r="J34" s="158"/>
      <c r="K34" s="158">
        <v>-125.04</v>
      </c>
      <c r="L34" s="158">
        <f t="shared" si="1"/>
        <v>93.23</v>
      </c>
      <c r="M34" s="210">
        <f>F34/K34</f>
        <v>0.25439859245041585</v>
      </c>
      <c r="N34" s="157">
        <f>E34-червень!E34</f>
        <v>0</v>
      </c>
      <c r="O34" s="160">
        <f>F34-червень!F34</f>
        <v>-0.48999999999999844</v>
      </c>
      <c r="P34" s="161">
        <f t="shared" si="6"/>
        <v>-0.48999999999999844</v>
      </c>
      <c r="Q34" s="158"/>
      <c r="R34" s="293"/>
      <c r="S34" s="293">
        <f t="shared" si="8"/>
        <v>-0.48999999999999844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104976.57</v>
      </c>
      <c r="G35" s="162">
        <f t="shared" si="0"/>
        <v>-14186.12999999999</v>
      </c>
      <c r="H35" s="164">
        <f t="shared" si="3"/>
        <v>88.09515897172521</v>
      </c>
      <c r="I35" s="165">
        <f t="shared" si="4"/>
        <v>-89417.53</v>
      </c>
      <c r="J35" s="165">
        <f t="shared" si="5"/>
        <v>54.00193215740602</v>
      </c>
      <c r="K35" s="178">
        <v>73216.69</v>
      </c>
      <c r="L35" s="178">
        <f>F35-K35</f>
        <v>31759.880000000005</v>
      </c>
      <c r="M35" s="226">
        <f>F35/K35</f>
        <v>1.4337792380398513</v>
      </c>
      <c r="N35" s="157">
        <f>E35-червень!E35</f>
        <v>18257</v>
      </c>
      <c r="O35" s="160">
        <f>F35-червень!F35</f>
        <v>614.2300000000105</v>
      </c>
      <c r="P35" s="167">
        <f t="shared" si="6"/>
        <v>-17642.76999999999</v>
      </c>
      <c r="Q35" s="165">
        <f>O35/N35*100</f>
        <v>3.364353398696448</v>
      </c>
      <c r="R35" s="293">
        <v>7700</v>
      </c>
      <c r="S35" s="293">
        <f t="shared" si="8"/>
        <v>-7085.7699999999895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E36-червень!E36</f>
        <v>0</v>
      </c>
      <c r="O36" s="144">
        <f>F36-червень!F36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20366.46</v>
      </c>
      <c r="G37" s="103">
        <f t="shared" si="0"/>
        <v>-2903.540000000001</v>
      </c>
      <c r="H37" s="105">
        <f t="shared" si="3"/>
        <v>87.52238934250107</v>
      </c>
      <c r="I37" s="104">
        <f t="shared" si="4"/>
        <v>-20633.54</v>
      </c>
      <c r="J37" s="104">
        <f t="shared" si="5"/>
        <v>49.67429268292683</v>
      </c>
      <c r="K37" s="127">
        <v>18313.06</v>
      </c>
      <c r="L37" s="127">
        <f t="shared" si="1"/>
        <v>2053.399999999998</v>
      </c>
      <c r="M37" s="216">
        <f t="shared" si="9"/>
        <v>1.1121276291346174</v>
      </c>
      <c r="N37" s="105">
        <f>E37-червень!E37</f>
        <v>3250</v>
      </c>
      <c r="O37" s="144">
        <f>F37-червень!F37</f>
        <v>78.39999999999782</v>
      </c>
      <c r="P37" s="106">
        <f t="shared" si="6"/>
        <v>-3171.600000000002</v>
      </c>
      <c r="Q37" s="104">
        <f>O37/N37*100</f>
        <v>2.412307692307625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84586.6</v>
      </c>
      <c r="G38" s="103">
        <f t="shared" si="0"/>
        <v>-11273.399999999994</v>
      </c>
      <c r="H38" s="105">
        <f t="shared" si="3"/>
        <v>88.23972459837263</v>
      </c>
      <c r="I38" s="104">
        <f t="shared" si="4"/>
        <v>-68752.5</v>
      </c>
      <c r="J38" s="104">
        <f t="shared" si="5"/>
        <v>55.163099300830645</v>
      </c>
      <c r="K38" s="127">
        <v>54889.45</v>
      </c>
      <c r="L38" s="127">
        <f t="shared" si="1"/>
        <v>29697.15000000001</v>
      </c>
      <c r="M38" s="216">
        <f t="shared" si="9"/>
        <v>1.5410356635018208</v>
      </c>
      <c r="N38" s="105">
        <f>E38-червень!E38</f>
        <v>15000</v>
      </c>
      <c r="O38" s="144">
        <f>F38-червень!F38</f>
        <v>535.8300000000017</v>
      </c>
      <c r="P38" s="106">
        <f t="shared" si="6"/>
        <v>-14464.169999999998</v>
      </c>
      <c r="Q38" s="104">
        <f>O38/N38*100</f>
        <v>3.5722000000000116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23.5</v>
      </c>
      <c r="G39" s="103">
        <f t="shared" si="0"/>
        <v>-9.200000000000003</v>
      </c>
      <c r="H39" s="105">
        <f t="shared" si="3"/>
        <v>71.86544342507645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E39-червень!E39</f>
        <v>7.0000000000000036</v>
      </c>
      <c r="O39" s="144">
        <f>F39-червень!F39</f>
        <v>0</v>
      </c>
      <c r="P39" s="106">
        <f t="shared" si="6"/>
        <v>-7.0000000000000036</v>
      </c>
      <c r="Q39" s="104"/>
      <c r="R39" s="107"/>
      <c r="S39" s="107"/>
    </row>
    <row r="40" spans="1:19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E40-червень!E40</f>
        <v>0</v>
      </c>
      <c r="O40" s="160">
        <f>F40-червень!F40</f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35193.7</v>
      </c>
      <c r="F41" s="287">
        <f>F42+F43+F44+F45+F46+F48+F50+F51+F52+F53+F54+F59+F60+F64+F47+F40</f>
        <v>36732.9</v>
      </c>
      <c r="G41" s="151">
        <f>G42+G43+G44+G45+G46+G48+G50+G51+G52+G53+G54+G59+G60+G64</f>
        <v>1528.6999999999996</v>
      </c>
      <c r="H41" s="152">
        <f>F41/E41*100</f>
        <v>104.37351003162499</v>
      </c>
      <c r="I41" s="153">
        <f>F41-D41</f>
        <v>-22292.1</v>
      </c>
      <c r="J41" s="153">
        <f>F41/D41*100</f>
        <v>62.23278271918679</v>
      </c>
      <c r="K41" s="151">
        <v>29260.66</v>
      </c>
      <c r="L41" s="151">
        <f t="shared" si="1"/>
        <v>7472.240000000002</v>
      </c>
      <c r="M41" s="205">
        <f t="shared" si="9"/>
        <v>1.2553681290852634</v>
      </c>
      <c r="N41" s="151">
        <f>N42+N43+N44+N45+N46+N48+N50+N51+N52+N53+N54+N59+N60+N64+N47</f>
        <v>5277.6</v>
      </c>
      <c r="O41" s="151">
        <f>O42+O43+O44+O45+O46+O48+O50+O51+O52+O53+O54+O59+O60+O64+O47+O40</f>
        <v>2674.4400000000005</v>
      </c>
      <c r="P41" s="151">
        <f>P42+P43+P44+P45+P46+P48+P50+P51+P52+P53+P54+P59+P60+P64</f>
        <v>-2589.5599999999995</v>
      </c>
      <c r="Q41" s="151">
        <f>O41/N41*100</f>
        <v>50.67530695770805</v>
      </c>
      <c r="R41" s="15">
        <f>R42+R43+R44+R45+R46+R47+R48+R50+R51+R52+R53+R54+R59+R60+R64</f>
        <v>5598.5</v>
      </c>
      <c r="S41" s="15">
        <f>O41-R41</f>
        <v>-2924.0599999999995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E42-червень!E42</f>
        <v>0</v>
      </c>
      <c r="O42" s="168">
        <f>F42-червень!F42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t="shared" si="10"/>
        <v>96.31896969696969</v>
      </c>
      <c r="I43" s="165">
        <f aca="true" t="shared" si="13" ref="I43:I66">F43-D43</f>
        <v>-14107.37</v>
      </c>
      <c r="J43" s="165">
        <f>F43/D43*100</f>
        <v>52.975433333333335</v>
      </c>
      <c r="K43" s="165">
        <v>13895.81</v>
      </c>
      <c r="L43" s="165">
        <f t="shared" si="1"/>
        <v>1996.8199999999997</v>
      </c>
      <c r="M43" s="218"/>
      <c r="N43" s="164">
        <f>E43-червень!E43</f>
        <v>2800</v>
      </c>
      <c r="O43" s="168">
        <f>F43-червень!F43</f>
        <v>2538.99</v>
      </c>
      <c r="P43" s="167">
        <f aca="true" t="shared" si="14" ref="P43:P66">O43-N43</f>
        <v>-261.0100000000002</v>
      </c>
      <c r="Q43" s="165">
        <f t="shared" si="11"/>
        <v>90.67821428571428</v>
      </c>
      <c r="R43" s="37">
        <v>2874.5</v>
      </c>
      <c r="S43" s="37">
        <f aca="true" t="shared" si="15" ref="S43:S66">O43-R43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102.8</v>
      </c>
      <c r="G44" s="162">
        <f t="shared" si="12"/>
        <v>79.8</v>
      </c>
      <c r="H44" s="164">
        <f>F44/E44*100</f>
        <v>446.95652173913044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E44-червень!E44</f>
        <v>1</v>
      </c>
      <c r="O44" s="168">
        <f>F44-червень!F44</f>
        <v>0</v>
      </c>
      <c r="P44" s="167">
        <f t="shared" si="14"/>
        <v>-1</v>
      </c>
      <c r="Q44" s="165">
        <f t="shared" si="11"/>
        <v>0</v>
      </c>
      <c r="R44" s="37">
        <v>10</v>
      </c>
      <c r="S44" s="37">
        <f t="shared" si="15"/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E45-червень!E45</f>
        <v>0</v>
      </c>
      <c r="O45" s="168">
        <f>F45-червень!F45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502.38</v>
      </c>
      <c r="G46" s="162">
        <f t="shared" si="12"/>
        <v>352.38</v>
      </c>
      <c r="H46" s="164">
        <f t="shared" si="10"/>
        <v>334.92</v>
      </c>
      <c r="I46" s="165">
        <f t="shared" si="13"/>
        <v>242.38</v>
      </c>
      <c r="J46" s="165">
        <f t="shared" si="16"/>
        <v>193.22307692307692</v>
      </c>
      <c r="K46" s="165">
        <v>60.97</v>
      </c>
      <c r="L46" s="165">
        <f t="shared" si="1"/>
        <v>441.40999999999997</v>
      </c>
      <c r="M46" s="218">
        <f t="shared" si="17"/>
        <v>8.239790060685584</v>
      </c>
      <c r="N46" s="164">
        <f>E46-червень!E46</f>
        <v>22</v>
      </c>
      <c r="O46" s="168">
        <f>F46-червень!F46</f>
        <v>0.8500000000000227</v>
      </c>
      <c r="P46" s="167">
        <f t="shared" si="14"/>
        <v>-21.149999999999977</v>
      </c>
      <c r="Q46" s="165">
        <f t="shared" si="11"/>
        <v>3.863636363636467</v>
      </c>
      <c r="R46" s="37">
        <v>70</v>
      </c>
      <c r="S46" s="37">
        <f t="shared" si="15"/>
        <v>-69.14999999999998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71.01</v>
      </c>
      <c r="G47" s="162">
        <f t="shared" si="12"/>
        <v>9.810000000000002</v>
      </c>
      <c r="H47" s="164">
        <f t="shared" si="10"/>
        <v>116.0294117647059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E47-червень!E47</f>
        <v>13.600000000000001</v>
      </c>
      <c r="O47" s="168">
        <f>F47-червень!F47</f>
        <v>0</v>
      </c>
      <c r="P47" s="167">
        <f t="shared" si="14"/>
        <v>-13.600000000000001</v>
      </c>
      <c r="Q47" s="165">
        <f t="shared" si="11"/>
        <v>0</v>
      </c>
      <c r="R47" s="37">
        <v>0</v>
      </c>
      <c r="S47" s="37">
        <f t="shared" si="15"/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634.84</v>
      </c>
      <c r="G48" s="162">
        <f t="shared" si="12"/>
        <v>114.84000000000003</v>
      </c>
      <c r="H48" s="164">
        <f t="shared" si="10"/>
        <v>122.08461538461539</v>
      </c>
      <c r="I48" s="165">
        <f t="shared" si="13"/>
        <v>-95.15999999999997</v>
      </c>
      <c r="J48" s="165">
        <f t="shared" si="16"/>
        <v>86.96438356164384</v>
      </c>
      <c r="K48" s="165">
        <v>168.08</v>
      </c>
      <c r="L48" s="165">
        <f t="shared" si="1"/>
        <v>466.76</v>
      </c>
      <c r="M48" s="218"/>
      <c r="N48" s="164">
        <f>E48-червень!E48</f>
        <v>60</v>
      </c>
      <c r="O48" s="168">
        <f>F48-червень!F48</f>
        <v>5.920000000000073</v>
      </c>
      <c r="P48" s="167">
        <f t="shared" si="14"/>
        <v>-54.07999999999993</v>
      </c>
      <c r="Q48" s="165">
        <f t="shared" si="11"/>
        <v>9.866666666666788</v>
      </c>
      <c r="R48" s="37">
        <v>100</v>
      </c>
      <c r="S48" s="37">
        <f t="shared" si="15"/>
        <v>-94.07999999999993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E49-червень!E49</f>
        <v>0</v>
      </c>
      <c r="O49" s="168">
        <f>F49-червень!F49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8455.44</v>
      </c>
      <c r="G50" s="162">
        <f t="shared" si="12"/>
        <v>1415.4400000000005</v>
      </c>
      <c r="H50" s="164">
        <f t="shared" si="10"/>
        <v>120.10568181818182</v>
      </c>
      <c r="I50" s="165">
        <f t="shared" si="13"/>
        <v>-2544.5599999999995</v>
      </c>
      <c r="J50" s="165">
        <f t="shared" si="16"/>
        <v>76.86763636363636</v>
      </c>
      <c r="K50" s="165">
        <v>5001.06</v>
      </c>
      <c r="L50" s="165">
        <f t="shared" si="1"/>
        <v>3454.38</v>
      </c>
      <c r="M50" s="218">
        <f t="shared" si="17"/>
        <v>1.6907295653321495</v>
      </c>
      <c r="N50" s="164">
        <f>E50-червень!E50</f>
        <v>1000</v>
      </c>
      <c r="O50" s="168">
        <f>F50-червень!F50</f>
        <v>91.13000000000102</v>
      </c>
      <c r="P50" s="167">
        <f t="shared" si="14"/>
        <v>-908.869999999999</v>
      </c>
      <c r="Q50" s="165">
        <f t="shared" si="11"/>
        <v>9.1130000000001</v>
      </c>
      <c r="R50" s="37">
        <v>1400</v>
      </c>
      <c r="S50" s="37">
        <f t="shared" si="15"/>
        <v>-1308.869999999999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265.81</v>
      </c>
      <c r="G51" s="162">
        <f t="shared" si="12"/>
        <v>90.81</v>
      </c>
      <c r="H51" s="164">
        <f t="shared" si="10"/>
        <v>151.89142857142858</v>
      </c>
      <c r="I51" s="165">
        <f t="shared" si="13"/>
        <v>-44.19</v>
      </c>
      <c r="J51" s="165">
        <f t="shared" si="16"/>
        <v>85.74516129032259</v>
      </c>
      <c r="K51" s="165">
        <v>68.92</v>
      </c>
      <c r="L51" s="165">
        <f t="shared" si="1"/>
        <v>196.89</v>
      </c>
      <c r="M51" s="218"/>
      <c r="N51" s="164">
        <f>E51-червень!E51</f>
        <v>25</v>
      </c>
      <c r="O51" s="168">
        <f>F51-червень!F51</f>
        <v>3</v>
      </c>
      <c r="P51" s="167">
        <f t="shared" si="14"/>
        <v>-22</v>
      </c>
      <c r="Q51" s="165">
        <f t="shared" si="11"/>
        <v>12</v>
      </c>
      <c r="R51" s="37">
        <v>40</v>
      </c>
      <c r="S51" s="37">
        <f t="shared" si="15"/>
        <v>-37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0"/>
        <v>216</v>
      </c>
      <c r="I52" s="165">
        <f t="shared" si="13"/>
        <v>5.920000000000002</v>
      </c>
      <c r="J52" s="165">
        <f t="shared" si="16"/>
        <v>129.6</v>
      </c>
      <c r="K52" s="165">
        <v>8.54</v>
      </c>
      <c r="L52" s="165">
        <f t="shared" si="1"/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 t="shared" si="14"/>
        <v>6.200000000000003</v>
      </c>
      <c r="Q52" s="165">
        <f t="shared" si="11"/>
        <v>720.0000000000002</v>
      </c>
      <c r="R52" s="37">
        <v>4</v>
      </c>
      <c r="S52" s="37">
        <f t="shared" si="15"/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3267.35</v>
      </c>
      <c r="G53" s="162">
        <f t="shared" si="12"/>
        <v>-982.6500000000001</v>
      </c>
      <c r="H53" s="164">
        <f t="shared" si="10"/>
        <v>76.87882352941176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E53-червень!E53</f>
        <v>605</v>
      </c>
      <c r="O53" s="168">
        <f>F53-червень!F53</f>
        <v>0</v>
      </c>
      <c r="P53" s="167">
        <f t="shared" si="14"/>
        <v>-605</v>
      </c>
      <c r="Q53" s="165">
        <f t="shared" si="11"/>
        <v>0</v>
      </c>
      <c r="R53" s="37">
        <v>550</v>
      </c>
      <c r="S53" s="37">
        <f t="shared" si="15"/>
        <v>-550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389.94</v>
      </c>
      <c r="G54" s="162">
        <f t="shared" si="12"/>
        <v>-300.06</v>
      </c>
      <c r="H54" s="164">
        <f t="shared" si="10"/>
        <v>56.51304347826087</v>
      </c>
      <c r="I54" s="165">
        <f t="shared" si="13"/>
        <v>-810.06</v>
      </c>
      <c r="J54" s="165">
        <f t="shared" si="16"/>
        <v>32.495000000000005</v>
      </c>
      <c r="K54" s="165">
        <v>3094.63</v>
      </c>
      <c r="L54" s="165">
        <f t="shared" si="1"/>
        <v>-2704.69</v>
      </c>
      <c r="M54" s="218">
        <f t="shared" si="17"/>
        <v>0.1260053705935766</v>
      </c>
      <c r="N54" s="164">
        <f>E54-червень!E54</f>
        <v>120</v>
      </c>
      <c r="O54" s="168">
        <f>F54-червень!F54</f>
        <v>1.5199999999999818</v>
      </c>
      <c r="P54" s="167">
        <f t="shared" si="14"/>
        <v>-118.48000000000002</v>
      </c>
      <c r="Q54" s="165">
        <f t="shared" si="11"/>
        <v>1.2666666666666515</v>
      </c>
      <c r="R54" s="37">
        <v>50</v>
      </c>
      <c r="S54" s="37">
        <f t="shared" si="15"/>
        <v>-48.48000000000002</v>
      </c>
    </row>
    <row r="55" spans="1:19" s="6" customFormat="1" ht="15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333.26</v>
      </c>
      <c r="G55" s="34">
        <f t="shared" si="12"/>
        <v>-246.74</v>
      </c>
      <c r="H55" s="30">
        <f t="shared" si="10"/>
        <v>57.45862068965517</v>
      </c>
      <c r="I55" s="104">
        <f t="shared" si="13"/>
        <v>-664.74</v>
      </c>
      <c r="J55" s="104">
        <f t="shared" si="16"/>
        <v>33.392785571142284</v>
      </c>
      <c r="K55" s="104">
        <v>420.67</v>
      </c>
      <c r="L55" s="104">
        <f>F55-K55</f>
        <v>-87.41000000000003</v>
      </c>
      <c r="M55" s="109">
        <f t="shared" si="17"/>
        <v>0.7922124230394371</v>
      </c>
      <c r="N55" s="105">
        <f>E55-червень!E55</f>
        <v>100</v>
      </c>
      <c r="O55" s="144">
        <f>F55-червень!F55</f>
        <v>0.7300000000000182</v>
      </c>
      <c r="P55" s="106">
        <f t="shared" si="14"/>
        <v>-99.26999999999998</v>
      </c>
      <c r="Q55" s="119">
        <f t="shared" si="11"/>
        <v>0.7300000000000182</v>
      </c>
      <c r="R55" s="37"/>
      <c r="S55" s="37">
        <f t="shared" si="15"/>
        <v>0.7300000000000182</v>
      </c>
    </row>
    <row r="56" spans="1:19" s="6" customFormat="1" ht="15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E56-червень!E56</f>
        <v>0</v>
      </c>
      <c r="O56" s="144">
        <f>F56-червень!F56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E57-червень!E57</f>
        <v>0</v>
      </c>
      <c r="O57" s="144">
        <f>F57-червень!F57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56.53</v>
      </c>
      <c r="G58" s="34">
        <f t="shared" si="12"/>
        <v>-53.47</v>
      </c>
      <c r="H58" s="30">
        <f t="shared" si="10"/>
        <v>51.39090909090909</v>
      </c>
      <c r="I58" s="104">
        <f t="shared" si="13"/>
        <v>-143.47</v>
      </c>
      <c r="J58" s="104">
        <f t="shared" si="16"/>
        <v>28.265</v>
      </c>
      <c r="K58" s="104">
        <v>2673.71</v>
      </c>
      <c r="L58" s="104">
        <f>F58-K58</f>
        <v>-2617.18</v>
      </c>
      <c r="M58" s="109">
        <f t="shared" si="17"/>
        <v>0.021142906298738457</v>
      </c>
      <c r="N58" s="105">
        <f>E58-червень!E58</f>
        <v>20</v>
      </c>
      <c r="O58" s="144">
        <f>F58-червень!F58</f>
        <v>0.7899999999999991</v>
      </c>
      <c r="P58" s="106">
        <f t="shared" si="14"/>
        <v>-19.21</v>
      </c>
      <c r="Q58" s="119">
        <f t="shared" si="11"/>
        <v>3.9499999999999957</v>
      </c>
      <c r="R58" s="37"/>
      <c r="S58" s="37">
        <f t="shared" si="15"/>
        <v>0.7899999999999991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4860.61</v>
      </c>
      <c r="G60" s="162">
        <f t="shared" si="12"/>
        <v>-599.3900000000003</v>
      </c>
      <c r="H60" s="164">
        <f t="shared" si="10"/>
        <v>89.02216117216116</v>
      </c>
      <c r="I60" s="165">
        <f t="shared" si="13"/>
        <v>-2489.3900000000003</v>
      </c>
      <c r="J60" s="165">
        <f t="shared" si="16"/>
        <v>66.13074829931972</v>
      </c>
      <c r="K60" s="165">
        <v>2709.14</v>
      </c>
      <c r="L60" s="165">
        <f aca="true" t="shared" si="18" ref="L60:L66">F60-K60</f>
        <v>2151.47</v>
      </c>
      <c r="M60" s="218">
        <f t="shared" si="17"/>
        <v>1.7941523878426364</v>
      </c>
      <c r="N60" s="164">
        <f>E60-червень!E60</f>
        <v>600</v>
      </c>
      <c r="O60" s="168">
        <f>F60-червень!F60</f>
        <v>25.829999999999927</v>
      </c>
      <c r="P60" s="167">
        <f t="shared" si="14"/>
        <v>-574.1700000000001</v>
      </c>
      <c r="Q60" s="165">
        <f t="shared" si="11"/>
        <v>4.304999999999988</v>
      </c>
      <c r="R60" s="37">
        <v>500</v>
      </c>
      <c r="S60" s="37">
        <f t="shared" si="15"/>
        <v>-474.1700000000001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1090.7</v>
      </c>
      <c r="G62" s="162"/>
      <c r="H62" s="164"/>
      <c r="I62" s="165"/>
      <c r="J62" s="165"/>
      <c r="K62" s="166">
        <v>592.26</v>
      </c>
      <c r="L62" s="165">
        <f t="shared" si="18"/>
        <v>498.44000000000005</v>
      </c>
      <c r="M62" s="218">
        <f t="shared" si="17"/>
        <v>1.8415898422989905</v>
      </c>
      <c r="N62" s="195"/>
      <c r="O62" s="179">
        <f>F62-червень!F62</f>
        <v>9.069999999999936</v>
      </c>
      <c r="P62" s="166"/>
      <c r="Q62" s="165"/>
      <c r="R62" s="37"/>
      <c r="S62" s="37">
        <f t="shared" si="15"/>
        <v>9.069999999999936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54.64</v>
      </c>
      <c r="G64" s="162">
        <f t="shared" si="12"/>
        <v>4.640000000000001</v>
      </c>
      <c r="H64" s="164">
        <f t="shared" si="10"/>
        <v>109.28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E64-червень!E64</f>
        <v>30</v>
      </c>
      <c r="O64" s="168">
        <f>F64-червень!F64</f>
        <v>0</v>
      </c>
      <c r="P64" s="167">
        <f t="shared" si="14"/>
        <v>-30</v>
      </c>
      <c r="Q64" s="165"/>
      <c r="R64" s="37">
        <v>0</v>
      </c>
      <c r="S64" s="37">
        <f t="shared" si="15"/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25.38</v>
      </c>
      <c r="G65" s="162">
        <f t="shared" si="12"/>
        <v>16.58</v>
      </c>
      <c r="H65" s="164">
        <f t="shared" si="10"/>
        <v>288.4090909090909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E65-червень!E65</f>
        <v>1.200000000000001</v>
      </c>
      <c r="O65" s="168">
        <f>F65-червень!F65</f>
        <v>0</v>
      </c>
      <c r="P65" s="167">
        <f t="shared" si="14"/>
        <v>-1.200000000000001</v>
      </c>
      <c r="Q65" s="165">
        <f t="shared" si="11"/>
        <v>0</v>
      </c>
      <c r="R65" s="37">
        <v>3.2</v>
      </c>
      <c r="S65" s="37">
        <f t="shared" si="15"/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E66-червень!E66</f>
        <v>0</v>
      </c>
      <c r="O66" s="168">
        <f>F66-червень!F66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649314.41</v>
      </c>
      <c r="G67" s="151">
        <f>F67-E67</f>
        <v>-113228.28999999992</v>
      </c>
      <c r="H67" s="152">
        <f>F67/E67*100</f>
        <v>85.15121972841652</v>
      </c>
      <c r="I67" s="153">
        <f>F67-D67</f>
        <v>-708176.6900000001</v>
      </c>
      <c r="J67" s="153">
        <f>F67/D67*100</f>
        <v>47.83194600686516</v>
      </c>
      <c r="K67" s="153">
        <v>494785.99</v>
      </c>
      <c r="L67" s="153">
        <f>F67-K67</f>
        <v>154528.42000000004</v>
      </c>
      <c r="M67" s="219">
        <f>F67/K67</f>
        <v>1.3123136530199653</v>
      </c>
      <c r="N67" s="151">
        <f>N8+N41+N65+N66</f>
        <v>123743.40000000004</v>
      </c>
      <c r="O67" s="151">
        <f>O8+O41+O65+O66</f>
        <v>5765.700000000003</v>
      </c>
      <c r="P67" s="155">
        <f>O67-N67</f>
        <v>-117977.70000000004</v>
      </c>
      <c r="Q67" s="153">
        <f>O67/N67*100</f>
        <v>4.659400016485728</v>
      </c>
      <c r="R67" s="27">
        <f>R8+R41+R65+R66</f>
        <v>108115.7</v>
      </c>
      <c r="S67" s="280">
        <f>O67-R67</f>
        <v>-102350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3.72</v>
      </c>
      <c r="G76" s="162">
        <f t="shared" si="19"/>
        <v>-13496.28</v>
      </c>
      <c r="H76" s="164">
        <f>F76/E76*100</f>
        <v>0.02755555555555556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E76-червень!E76</f>
        <v>4500</v>
      </c>
      <c r="O76" s="168">
        <f>F76-червень!F76</f>
        <v>0</v>
      </c>
      <c r="P76" s="167">
        <f t="shared" si="22"/>
        <v>-4500</v>
      </c>
      <c r="Q76" s="167">
        <f>O76/N76*100</f>
        <v>0</v>
      </c>
      <c r="R76" s="38">
        <v>0</v>
      </c>
      <c r="S76" s="38">
        <f aca="true" t="shared" si="23" ref="S76:S87">O76-R76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1617.15</v>
      </c>
      <c r="G77" s="162">
        <f t="shared" si="19"/>
        <v>-17612.85</v>
      </c>
      <c r="H77" s="164">
        <f>F77/E77*100</f>
        <v>8.409516380655226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E77-червень!E77</f>
        <v>3600</v>
      </c>
      <c r="O77" s="168">
        <f>F77-червень!F77</f>
        <v>0</v>
      </c>
      <c r="P77" s="167">
        <f t="shared" si="22"/>
        <v>-3600</v>
      </c>
      <c r="Q77" s="167">
        <f>O77/N77*100</f>
        <v>0</v>
      </c>
      <c r="R77" s="38">
        <v>200</v>
      </c>
      <c r="S77" s="38">
        <f t="shared" si="23"/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6568.22</v>
      </c>
      <c r="G78" s="162">
        <f t="shared" si="19"/>
        <v>-13481.779999999999</v>
      </c>
      <c r="H78" s="164">
        <f>F78/E78*100</f>
        <v>32.75920199501247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E78-червень!E78</f>
        <v>3850</v>
      </c>
      <c r="O78" s="168">
        <f>F78-червень!F78</f>
        <v>0</v>
      </c>
      <c r="P78" s="167">
        <f t="shared" si="22"/>
        <v>-3850</v>
      </c>
      <c r="Q78" s="167">
        <f>O78/N78*100</f>
        <v>0</v>
      </c>
      <c r="R78" s="38">
        <v>1500</v>
      </c>
      <c r="S78" s="38">
        <f t="shared" si="23"/>
        <v>-1500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7</v>
      </c>
      <c r="G79" s="162">
        <f t="shared" si="19"/>
        <v>0</v>
      </c>
      <c r="H79" s="164">
        <f>F79/E79*100</f>
        <v>100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E79-червень!E79</f>
        <v>1</v>
      </c>
      <c r="O79" s="168">
        <f>F79-червень!F79</f>
        <v>0</v>
      </c>
      <c r="P79" s="167">
        <f t="shared" si="22"/>
        <v>-1</v>
      </c>
      <c r="Q79" s="167">
        <f>O79/N79*100</f>
        <v>0</v>
      </c>
      <c r="R79" s="38">
        <v>1</v>
      </c>
      <c r="S79" s="38">
        <f t="shared" si="23"/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8196.09</v>
      </c>
      <c r="G80" s="185">
        <f t="shared" si="19"/>
        <v>-44590.91</v>
      </c>
      <c r="H80" s="186">
        <f>F80/E80*100</f>
        <v>15.526720594085667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0</v>
      </c>
      <c r="P80" s="187">
        <f t="shared" si="22"/>
        <v>-11951</v>
      </c>
      <c r="Q80" s="187">
        <f>O80/N80*100</f>
        <v>0</v>
      </c>
      <c r="R80" s="39">
        <f>SUM(R76:R79)</f>
        <v>1701</v>
      </c>
      <c r="S80" s="39">
        <f t="shared" si="23"/>
        <v>-1701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E81-червень!E81</f>
        <v>0</v>
      </c>
      <c r="O81" s="168">
        <f>F81-червень!F81</f>
        <v>0</v>
      </c>
      <c r="P81" s="167">
        <f t="shared" si="22"/>
        <v>0</v>
      </c>
      <c r="Q81" s="167"/>
      <c r="R81" s="38">
        <v>1</v>
      </c>
      <c r="S81" s="38">
        <f t="shared" si="23"/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5104.01</v>
      </c>
      <c r="G83" s="162">
        <f t="shared" si="19"/>
        <v>593.21</v>
      </c>
      <c r="H83" s="164">
        <f>F83/E83*100</f>
        <v>113.15088232685999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E83-червень!E83</f>
        <v>3.800000000000182</v>
      </c>
      <c r="O83" s="168">
        <f>F83-червень!F83</f>
        <v>0</v>
      </c>
      <c r="P83" s="167">
        <f>O83-N83</f>
        <v>-3.800000000000182</v>
      </c>
      <c r="Q83" s="190">
        <f>O83/N83*100</f>
        <v>0</v>
      </c>
      <c r="R83" s="41">
        <v>2850</v>
      </c>
      <c r="S83" s="288">
        <f t="shared" si="23"/>
        <v>-2850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E84-червень!E84</f>
        <v>0</v>
      </c>
      <c r="O84" s="168">
        <f>F84-червень!F84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5139.37</v>
      </c>
      <c r="G85" s="183">
        <f>G81+G84+G82+G83</f>
        <v>624.57</v>
      </c>
      <c r="H85" s="186">
        <f>F85/E85*100</f>
        <v>113.83383538584211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3.800000000000182</v>
      </c>
      <c r="O85" s="189">
        <f>O81+O84+O82+O83</f>
        <v>0</v>
      </c>
      <c r="P85" s="185">
        <f>P81+P84+P82+P83</f>
        <v>-3.800000000000182</v>
      </c>
      <c r="Q85" s="187">
        <f>O85/N85*100</f>
        <v>0</v>
      </c>
      <c r="R85" s="39">
        <f>SUM(R81:R84)</f>
        <v>2851</v>
      </c>
      <c r="S85" s="39">
        <f t="shared" si="23"/>
        <v>-2851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7.74</v>
      </c>
      <c r="G86" s="162">
        <f t="shared" si="19"/>
        <v>-17.060000000000002</v>
      </c>
      <c r="H86" s="164">
        <f>F86/E86*100</f>
        <v>31.209677419354836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E86-червень!E86</f>
        <v>1.5</v>
      </c>
      <c r="O86" s="168">
        <f>F86-червень!F86</f>
        <v>0</v>
      </c>
      <c r="P86" s="167">
        <f t="shared" si="22"/>
        <v>-1.5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13376.140000000001</v>
      </c>
      <c r="G88" s="192">
        <f>F88-E88</f>
        <v>-43950.46000000001</v>
      </c>
      <c r="H88" s="193">
        <f>F88/E88*100</f>
        <v>23.33321704060593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11956.3</v>
      </c>
      <c r="O88" s="191">
        <f>O74+O75+O80+O85+O86</f>
        <v>0</v>
      </c>
      <c r="P88" s="194">
        <f t="shared" si="22"/>
        <v>-11956.3</v>
      </c>
      <c r="Q88" s="194">
        <f>O88/N88*100</f>
        <v>0</v>
      </c>
      <c r="R88" s="27">
        <f>R80+R85+R86+R87</f>
        <v>4553.2</v>
      </c>
      <c r="S88" s="27">
        <f>S80+S85+S86+S87</f>
        <v>-4553.2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662690.55</v>
      </c>
      <c r="G89" s="192">
        <f>F89-E89</f>
        <v>-157178.74999999988</v>
      </c>
      <c r="H89" s="193">
        <f>F89/E89*100</f>
        <v>80.82880405449991</v>
      </c>
      <c r="I89" s="194">
        <f>F89-D89</f>
        <v>-940456.5800000001</v>
      </c>
      <c r="J89" s="194">
        <f>F89/D89*100</f>
        <v>41.336851596397146</v>
      </c>
      <c r="K89" s="194">
        <f>K67+K88</f>
        <v>511056.95</v>
      </c>
      <c r="L89" s="194">
        <f>F89-K89</f>
        <v>151633.60000000003</v>
      </c>
      <c r="M89" s="221">
        <f t="shared" si="24"/>
        <v>1.2967058759302657</v>
      </c>
      <c r="N89" s="192">
        <f>N67+N88</f>
        <v>135699.70000000004</v>
      </c>
      <c r="O89" s="192">
        <f>O67+O88</f>
        <v>5765.700000000003</v>
      </c>
      <c r="P89" s="194">
        <f t="shared" si="22"/>
        <v>-129934.00000000004</v>
      </c>
      <c r="Q89" s="194">
        <f>O89/N89*100</f>
        <v>4.248867167724026</v>
      </c>
      <c r="R89" s="27">
        <f>R67+R88</f>
        <v>112668.9</v>
      </c>
      <c r="S89" s="27">
        <f>S67+S88</f>
        <v>-106903.2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20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5898.885000000002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42919</v>
      </c>
      <c r="D93" s="29">
        <v>5765.7</v>
      </c>
      <c r="G93" s="4" t="s">
        <v>58</v>
      </c>
      <c r="O93" s="303"/>
      <c r="P93" s="303"/>
    </row>
    <row r="94" spans="3:16" ht="15">
      <c r="C94" s="81">
        <v>42916</v>
      </c>
      <c r="D94" s="29">
        <v>14988.4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42913</v>
      </c>
      <c r="D95" s="29">
        <v>9872.9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0.19858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926.57</v>
      </c>
      <c r="G100" s="68">
        <f>G48+G51+G52</f>
        <v>219.57000000000005</v>
      </c>
      <c r="H100" s="69"/>
      <c r="I100" s="69"/>
      <c r="N100" s="29">
        <f>N48+N51+N52</f>
        <v>86</v>
      </c>
      <c r="O100" s="202">
        <f>O48+O51+O52</f>
        <v>16.120000000000076</v>
      </c>
      <c r="P100" s="29">
        <f>P48+P51+P52</f>
        <v>-69.87999999999992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614795.1100000001</v>
      </c>
      <c r="G102" s="29">
        <f>F102-E102</f>
        <v>-112816.3899999999</v>
      </c>
      <c r="H102" s="230">
        <f>F102/E102</f>
        <v>0.8449496881234012</v>
      </c>
      <c r="I102" s="29">
        <f>F102-D102</f>
        <v>-684253.49</v>
      </c>
      <c r="J102" s="230">
        <f>F102/D102</f>
        <v>0.4732656730471824</v>
      </c>
      <c r="N102" s="29">
        <f>N9+N15+N17+N18+N19+N23+N42+N45+N65+N59</f>
        <v>118465.80000000003</v>
      </c>
      <c r="O102" s="229">
        <f>O9+O15+O17+O18+O19+O23+O42+O45+O65+O59</f>
        <v>3091.260000000002</v>
      </c>
      <c r="P102" s="29">
        <f>O102-N102</f>
        <v>-115374.54000000004</v>
      </c>
      <c r="Q102" s="230">
        <f>O102/N102</f>
        <v>0.026094113237744573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34518.119999999995</v>
      </c>
      <c r="G103" s="29">
        <f>G43+G44+G46+G48+G50+G51+G52+G53+G54+G60+G64+G47</f>
        <v>-407.8300000000007</v>
      </c>
      <c r="H103" s="230">
        <f>F103/E103</f>
        <v>0.9881744686698424</v>
      </c>
      <c r="I103" s="29">
        <f>I43+I44+I46+I48+I50+I51+I52+I53+I54+I60+I64+I47</f>
        <v>-23919.13000000001</v>
      </c>
      <c r="J103" s="230">
        <f>F103/D103</f>
        <v>0.5906338708987465</v>
      </c>
      <c r="K103" s="29">
        <f aca="true" t="shared" si="25" ref="K103:P103">K43+K44+K46+K48+K50+K51+K52+K53+K54+K60+K64+K47</f>
        <v>29017.919999999995</v>
      </c>
      <c r="L103" s="29">
        <f t="shared" si="25"/>
        <v>5505.45</v>
      </c>
      <c r="M103" s="29">
        <f t="shared" si="25"/>
        <v>17.67580945035984</v>
      </c>
      <c r="N103" s="29">
        <f>N43+N44+N46+N48+N50+N51+N52+N53+N54+N60+N64+N47+N66</f>
        <v>5277.6</v>
      </c>
      <c r="O103" s="229">
        <f>O43+O44+O46+O48+O50+O51+O52+O53+O54+O60+O64+O47+O66</f>
        <v>2674.4400000000005</v>
      </c>
      <c r="P103" s="29">
        <f t="shared" si="25"/>
        <v>-2603.1599999999994</v>
      </c>
      <c r="Q103" s="230">
        <f>O103/N103</f>
        <v>0.5067530695770806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762542.7</v>
      </c>
      <c r="F104" s="229">
        <f t="shared" si="26"/>
        <v>649313.2300000001</v>
      </c>
      <c r="G104" s="29">
        <f t="shared" si="26"/>
        <v>-113224.2199999999</v>
      </c>
      <c r="H104" s="230">
        <f>F104/E104</f>
        <v>0.8515106498298393</v>
      </c>
      <c r="I104" s="29">
        <f t="shared" si="26"/>
        <v>-708172.62</v>
      </c>
      <c r="J104" s="230">
        <f>F104/D104</f>
        <v>0.4783185908180172</v>
      </c>
      <c r="K104" s="29">
        <f t="shared" si="26"/>
        <v>29017.919999999995</v>
      </c>
      <c r="L104" s="29">
        <f t="shared" si="26"/>
        <v>5505.45</v>
      </c>
      <c r="M104" s="29">
        <f t="shared" si="26"/>
        <v>17.67580945035984</v>
      </c>
      <c r="N104" s="29">
        <f t="shared" si="26"/>
        <v>123743.40000000004</v>
      </c>
      <c r="O104" s="229">
        <f t="shared" si="26"/>
        <v>5765.700000000003</v>
      </c>
      <c r="P104" s="29">
        <f t="shared" si="26"/>
        <v>-117977.70000000004</v>
      </c>
      <c r="Q104" s="230">
        <f>O104/N104</f>
        <v>0.046594000164857284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-4.070000000021537</v>
      </c>
      <c r="H105" s="230"/>
      <c r="I105" s="29">
        <f t="shared" si="27"/>
        <v>-4.070000000065193</v>
      </c>
      <c r="J105" s="230"/>
      <c r="K105" s="29">
        <f t="shared" si="27"/>
        <v>465768.07</v>
      </c>
      <c r="L105" s="29">
        <f t="shared" si="27"/>
        <v>149022.97000000003</v>
      </c>
      <c r="M105" s="29">
        <f t="shared" si="27"/>
        <v>-16.363495797339873</v>
      </c>
      <c r="N105" s="29">
        <f t="shared" si="27"/>
        <v>0</v>
      </c>
      <c r="O105" s="29">
        <f t="shared" si="27"/>
        <v>0</v>
      </c>
      <c r="P105" s="29">
        <f t="shared" si="27"/>
        <v>0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33630.46</v>
      </c>
      <c r="G111" s="192">
        <f>F111-E111</f>
        <v>-41798.200000000004</v>
      </c>
      <c r="H111" s="193">
        <f>F111/E111*100</f>
        <v>44.58578476669213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682944.87</v>
      </c>
      <c r="G112" s="192">
        <f>F112-E112</f>
        <v>-155026.49</v>
      </c>
      <c r="H112" s="193">
        <f>F112/E112*100</f>
        <v>81.49978657981819</v>
      </c>
      <c r="I112" s="194">
        <f>F112-D112</f>
        <v>-992610.4800000001</v>
      </c>
      <c r="J112" s="194">
        <f>F112/D112*100</f>
        <v>40.759314217820375</v>
      </c>
      <c r="K112" s="194">
        <f>K89+K111</f>
        <v>514096.82</v>
      </c>
      <c r="L112" s="194">
        <f>F112-K112</f>
        <v>168848.05</v>
      </c>
      <c r="M112" s="269">
        <f>F112/K112</f>
        <v>1.328436285600833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1228773.95</v>
      </c>
      <c r="G124" s="278">
        <f t="shared" si="29"/>
        <v>-159853.01</v>
      </c>
      <c r="H124" s="277">
        <f t="shared" si="31"/>
        <v>88.48841232349399</v>
      </c>
      <c r="I124" s="279">
        <f t="shared" si="30"/>
        <v>-1669650.09</v>
      </c>
      <c r="J124" s="279">
        <f t="shared" si="32"/>
        <v>42.39455417986389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5" sqref="F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212</v>
      </c>
      <c r="O3" s="331" t="s">
        <v>213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209</v>
      </c>
      <c r="F4" s="314" t="s">
        <v>33</v>
      </c>
      <c r="G4" s="305" t="s">
        <v>210</v>
      </c>
      <c r="H4" s="316" t="s">
        <v>211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217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214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 aca="true" t="shared" si="0" ref="G8:G40">F8-E8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 aca="true" t="shared" si="1" ref="L8:L54">F8-K8</f>
        <v>143958.7</v>
      </c>
      <c r="M8" s="205">
        <f aca="true" t="shared" si="2" ref="M8:M31">F8/K8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 t="shared" si="0"/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 t="shared" si="1"/>
        <v>90099.84</v>
      </c>
      <c r="M9" s="206">
        <f t="shared" si="2"/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 t="shared" si="0"/>
        <v>4480.760000000009</v>
      </c>
      <c r="H10" s="30">
        <f aca="true" t="shared" si="3" ref="H10:H39">F10/E10*100</f>
        <v>101.40876050103125</v>
      </c>
      <c r="I10" s="104">
        <f aca="true" t="shared" si="4" ref="I10:I40">F10-D10</f>
        <v>-378772.24</v>
      </c>
      <c r="J10" s="104">
        <f aca="true" t="shared" si="5" ref="J10:J39">F10/D10*100</f>
        <v>45.991293523470844</v>
      </c>
      <c r="K10" s="106">
        <v>231268.41</v>
      </c>
      <c r="L10" s="106">
        <f t="shared" si="1"/>
        <v>91276.35</v>
      </c>
      <c r="M10" s="207">
        <f t="shared" si="2"/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 aca="true" t="shared" si="6" ref="P10:P40">O10-N10</f>
        <v>61.5800000000163</v>
      </c>
      <c r="Q10" s="104">
        <f aca="true" t="shared" si="7" ref="Q10:Q27">O10/N10*100</f>
        <v>100.09487858991744</v>
      </c>
      <c r="R10" s="37"/>
      <c r="S10" s="100">
        <f aca="true" t="shared" si="8" ref="S10:S35">O10-R10</f>
        <v>64965.580000000016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 t="shared" si="0"/>
        <v>-3114.1100000000006</v>
      </c>
      <c r="H11" s="30">
        <f t="shared" si="3"/>
        <v>85.97247747747747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E11-травень!E11</f>
        <v>3840</v>
      </c>
      <c r="O11" s="144">
        <f>F11-травень!F11</f>
        <v>3265.99</v>
      </c>
      <c r="P11" s="106">
        <f t="shared" si="6"/>
        <v>-574.0100000000002</v>
      </c>
      <c r="Q11" s="104">
        <f t="shared" si="7"/>
        <v>85.05182291666667</v>
      </c>
      <c r="R11" s="37"/>
      <c r="S11" s="100">
        <f t="shared" si="8"/>
        <v>3265.99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 t="shared" si="0"/>
        <v>673.0299999999997</v>
      </c>
      <c r="H12" s="30">
        <f t="shared" si="3"/>
        <v>117.52682291666665</v>
      </c>
      <c r="I12" s="104">
        <f t="shared" si="4"/>
        <v>-3766.9700000000003</v>
      </c>
      <c r="J12" s="104">
        <f t="shared" si="5"/>
        <v>54.50519323671498</v>
      </c>
      <c r="K12" s="106">
        <v>5288.66</v>
      </c>
      <c r="L12" s="106">
        <f t="shared" si="1"/>
        <v>-775.6300000000001</v>
      </c>
      <c r="M12" s="207">
        <f t="shared" si="2"/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 t="shared" si="6"/>
        <v>-129.23000000000047</v>
      </c>
      <c r="Q12" s="104">
        <f t="shared" si="7"/>
        <v>85.64111111111106</v>
      </c>
      <c r="R12" s="37"/>
      <c r="S12" s="100">
        <f t="shared" si="8"/>
        <v>770.7699999999995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 t="shared" si="0"/>
        <v>131.17000000000007</v>
      </c>
      <c r="H13" s="30">
        <f t="shared" si="3"/>
        <v>102.8765350877193</v>
      </c>
      <c r="I13" s="104">
        <f t="shared" si="4"/>
        <v>-4698.83</v>
      </c>
      <c r="J13" s="104">
        <f t="shared" si="5"/>
        <v>49.95921192758254</v>
      </c>
      <c r="K13" s="106">
        <v>4452.61</v>
      </c>
      <c r="L13" s="106">
        <f t="shared" si="1"/>
        <v>238.5600000000004</v>
      </c>
      <c r="M13" s="207">
        <f t="shared" si="2"/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 t="shared" si="6"/>
        <v>148.57999999999993</v>
      </c>
      <c r="Q13" s="104">
        <f t="shared" si="7"/>
        <v>122.5121212121212</v>
      </c>
      <c r="R13" s="37"/>
      <c r="S13" s="100">
        <f t="shared" si="8"/>
        <v>808.5799999999999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 t="shared" si="0"/>
        <v>-5639.889999999999</v>
      </c>
      <c r="H19" s="164">
        <f t="shared" si="3"/>
        <v>90.53709731543624</v>
      </c>
      <c r="I19" s="165">
        <f t="shared" si="4"/>
        <v>-76039.89</v>
      </c>
      <c r="J19" s="165">
        <f t="shared" si="5"/>
        <v>41.507776923076925</v>
      </c>
      <c r="K19" s="161">
        <v>44512.02</v>
      </c>
      <c r="L19" s="167">
        <f t="shared" si="1"/>
        <v>9448.090000000004</v>
      </c>
      <c r="M19" s="213">
        <f t="shared" si="2"/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 t="shared" si="6"/>
        <v>-2234.979999999996</v>
      </c>
      <c r="Q19" s="165">
        <f t="shared" si="7"/>
        <v>80.04482142857147</v>
      </c>
      <c r="R19" s="294">
        <v>8800</v>
      </c>
      <c r="S19" s="100">
        <f t="shared" si="8"/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 t="shared" si="0"/>
        <v>-4664.740000000002</v>
      </c>
      <c r="H20" s="195">
        <f t="shared" si="3"/>
        <v>87.00629526462396</v>
      </c>
      <c r="I20" s="254">
        <f t="shared" si="4"/>
        <v>-45264.740000000005</v>
      </c>
      <c r="J20" s="254">
        <f t="shared" si="5"/>
        <v>40.83040522875817</v>
      </c>
      <c r="K20" s="255">
        <v>44512.02</v>
      </c>
      <c r="L20" s="166">
        <f t="shared" si="1"/>
        <v>-13276.759999999998</v>
      </c>
      <c r="M20" s="256">
        <f t="shared" si="2"/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 t="shared" si="6"/>
        <v>-1143.2300000000032</v>
      </c>
      <c r="Q20" s="254">
        <f t="shared" si="7"/>
        <v>81.70831999999994</v>
      </c>
      <c r="R20" s="104">
        <v>4450</v>
      </c>
      <c r="S20" s="104">
        <f t="shared" si="8"/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 t="shared" si="0"/>
        <v>-151.67000000000007</v>
      </c>
      <c r="H21" s="195"/>
      <c r="I21" s="254">
        <f t="shared" si="4"/>
        <v>-5951.67</v>
      </c>
      <c r="J21" s="254">
        <f t="shared" si="5"/>
        <v>44.376915887850465</v>
      </c>
      <c r="K21" s="255">
        <v>0</v>
      </c>
      <c r="L21" s="166">
        <f t="shared" si="1"/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 t="shared" si="6"/>
        <v>-295.3600000000001</v>
      </c>
      <c r="Q21" s="254"/>
      <c r="R21" s="104">
        <v>900</v>
      </c>
      <c r="S21" s="104">
        <f t="shared" si="8"/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 t="shared" si="0"/>
        <v>-823.4799999999996</v>
      </c>
      <c r="H22" s="195"/>
      <c r="I22" s="254">
        <f t="shared" si="4"/>
        <v>-24823.48</v>
      </c>
      <c r="J22" s="254">
        <f t="shared" si="5"/>
        <v>42.001214953271024</v>
      </c>
      <c r="K22" s="255">
        <v>0</v>
      </c>
      <c r="L22" s="166">
        <f t="shared" si="1"/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 t="shared" si="6"/>
        <v>-796.3999999999996</v>
      </c>
      <c r="Q22" s="254"/>
      <c r="R22" s="104">
        <v>3800</v>
      </c>
      <c r="S22" s="104">
        <f t="shared" si="8"/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 t="shared" si="0"/>
        <v>4179.520000000019</v>
      </c>
      <c r="H23" s="157">
        <f t="shared" si="3"/>
        <v>102.09368985585945</v>
      </c>
      <c r="I23" s="158">
        <f t="shared" si="4"/>
        <v>-197325.97999999998</v>
      </c>
      <c r="J23" s="158">
        <f t="shared" si="5"/>
        <v>50.80748614975541</v>
      </c>
      <c r="K23" s="158">
        <v>159141.65</v>
      </c>
      <c r="L23" s="161">
        <f t="shared" si="1"/>
        <v>44662.47</v>
      </c>
      <c r="M23" s="209">
        <f t="shared" si="2"/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 t="shared" si="6"/>
        <v>2926.3399999999965</v>
      </c>
      <c r="Q23" s="158">
        <f t="shared" si="7"/>
        <v>112.96446925394292</v>
      </c>
      <c r="R23" s="288">
        <f>R24+R33+R35</f>
        <v>22714</v>
      </c>
      <c r="S23" s="294">
        <f t="shared" si="8"/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 t="shared" si="0"/>
        <v>720.7700000000041</v>
      </c>
      <c r="H24" s="157">
        <f t="shared" si="3"/>
        <v>100.73046398757917</v>
      </c>
      <c r="I24" s="158">
        <f t="shared" si="4"/>
        <v>-107227.33</v>
      </c>
      <c r="J24" s="158">
        <f t="shared" si="5"/>
        <v>48.10434079788599</v>
      </c>
      <c r="K24" s="158">
        <v>85994.38</v>
      </c>
      <c r="L24" s="161">
        <f t="shared" si="1"/>
        <v>13399.289999999994</v>
      </c>
      <c r="M24" s="209">
        <f t="shared" si="2"/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 t="shared" si="6"/>
        <v>1696.5399999999936</v>
      </c>
      <c r="Q24" s="158">
        <f t="shared" si="7"/>
        <v>110.62662073285307</v>
      </c>
      <c r="R24" s="293">
        <f>R25+R28+R29</f>
        <v>15007</v>
      </c>
      <c r="S24" s="293">
        <f t="shared" si="8"/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 t="shared" si="0"/>
        <v>696.4300000000003</v>
      </c>
      <c r="H25" s="173">
        <f t="shared" si="3"/>
        <v>106.70346805786835</v>
      </c>
      <c r="I25" s="174">
        <f t="shared" si="4"/>
        <v>-11723.47</v>
      </c>
      <c r="J25" s="174">
        <f t="shared" si="5"/>
        <v>48.60156078740848</v>
      </c>
      <c r="K25" s="175">
        <v>9233.59</v>
      </c>
      <c r="L25" s="166">
        <f t="shared" si="1"/>
        <v>1851.9400000000005</v>
      </c>
      <c r="M25" s="215">
        <f t="shared" si="2"/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 t="shared" si="6"/>
        <v>144.48999999999978</v>
      </c>
      <c r="Q25" s="174">
        <f t="shared" si="7"/>
        <v>117.94906832298133</v>
      </c>
      <c r="R25" s="104">
        <v>800</v>
      </c>
      <c r="S25" s="104">
        <f t="shared" si="8"/>
        <v>149.48999999999978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 t="shared" si="0"/>
        <v>-496.74</v>
      </c>
      <c r="H26" s="199">
        <f t="shared" si="3"/>
        <v>30.036619718309858</v>
      </c>
      <c r="I26" s="200">
        <f t="shared" si="4"/>
        <v>-1609.04</v>
      </c>
      <c r="J26" s="200">
        <f t="shared" si="5"/>
        <v>11.702793173462108</v>
      </c>
      <c r="K26" s="200">
        <v>342.1</v>
      </c>
      <c r="L26" s="200">
        <f t="shared" si="1"/>
        <v>-128.84000000000003</v>
      </c>
      <c r="M26" s="228">
        <f t="shared" si="2"/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 t="shared" si="6"/>
        <v>-89.01000000000002</v>
      </c>
      <c r="Q26" s="200">
        <f t="shared" si="7"/>
        <v>15.22857142857141</v>
      </c>
      <c r="R26" s="104"/>
      <c r="S26" s="104">
        <f t="shared" si="8"/>
        <v>15.98999999999998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 t="shared" si="0"/>
        <v>1193.1599999999999</v>
      </c>
      <c r="H27" s="199">
        <f t="shared" si="3"/>
        <v>112.32717917988242</v>
      </c>
      <c r="I27" s="200">
        <f t="shared" si="4"/>
        <v>-10114.44</v>
      </c>
      <c r="J27" s="200">
        <f t="shared" si="5"/>
        <v>51.80547680197458</v>
      </c>
      <c r="K27" s="200">
        <v>8891.49</v>
      </c>
      <c r="L27" s="200">
        <f t="shared" si="1"/>
        <v>1980.7700000000004</v>
      </c>
      <c r="M27" s="228">
        <f t="shared" si="2"/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 t="shared" si="6"/>
        <v>233.48999999999978</v>
      </c>
      <c r="Q27" s="200">
        <f t="shared" si="7"/>
        <v>133.35571428571424</v>
      </c>
      <c r="R27" s="104"/>
      <c r="S27" s="104">
        <f t="shared" si="8"/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 t="shared" si="0"/>
        <v>-223.03000000000003</v>
      </c>
      <c r="H28" s="173">
        <f t="shared" si="3"/>
        <v>-66.68908819133034</v>
      </c>
      <c r="I28" s="174">
        <f t="shared" si="4"/>
        <v>-909.23</v>
      </c>
      <c r="J28" s="174">
        <f t="shared" si="5"/>
        <v>-10.88170731707317</v>
      </c>
      <c r="K28" s="174">
        <v>435.05</v>
      </c>
      <c r="L28" s="174">
        <f t="shared" si="1"/>
        <v>-524.28</v>
      </c>
      <c r="M28" s="212">
        <f t="shared" si="2"/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 t="shared" si="6"/>
        <v>-48.75000000000001</v>
      </c>
      <c r="Q28" s="174">
        <f>O28/N28*100</f>
        <v>-875.0000000000002</v>
      </c>
      <c r="R28" s="104">
        <v>-25</v>
      </c>
      <c r="S28" s="104">
        <f t="shared" si="8"/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 t="shared" si="0"/>
        <v>247.36999999999534</v>
      </c>
      <c r="H29" s="173">
        <f t="shared" si="3"/>
        <v>100.28062393647193</v>
      </c>
      <c r="I29" s="174">
        <f t="shared" si="4"/>
        <v>-94594.63</v>
      </c>
      <c r="J29" s="174">
        <f t="shared" si="5"/>
        <v>48.3066855381656</v>
      </c>
      <c r="K29" s="175">
        <v>76325.75</v>
      </c>
      <c r="L29" s="175">
        <f t="shared" si="1"/>
        <v>12071.619999999995</v>
      </c>
      <c r="M29" s="211">
        <f t="shared" si="2"/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 t="shared" si="6"/>
        <v>1600.7999999999884</v>
      </c>
      <c r="Q29" s="174">
        <f>O29/N29*100</f>
        <v>110.56285054437471</v>
      </c>
      <c r="R29" s="104">
        <v>14232</v>
      </c>
      <c r="S29" s="104">
        <f t="shared" si="8"/>
        <v>2523.7999999999884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 t="shared" si="0"/>
        <v>3877.9500000000007</v>
      </c>
      <c r="H30" s="199">
        <f t="shared" si="3"/>
        <v>114.48076923076924</v>
      </c>
      <c r="I30" s="200">
        <f t="shared" si="4"/>
        <v>-26875.05</v>
      </c>
      <c r="J30" s="200">
        <f t="shared" si="5"/>
        <v>53.28759146924374</v>
      </c>
      <c r="K30" s="200">
        <v>23736.85</v>
      </c>
      <c r="L30" s="200">
        <f t="shared" si="1"/>
        <v>6921.100000000002</v>
      </c>
      <c r="M30" s="228">
        <f t="shared" si="2"/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 t="shared" si="6"/>
        <v>1806.7099999999991</v>
      </c>
      <c r="Q30" s="200">
        <f>O30/N30*100</f>
        <v>138.4406382978723</v>
      </c>
      <c r="R30" s="107"/>
      <c r="S30" s="100">
        <f t="shared" si="8"/>
        <v>6506.709999999999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 t="shared" si="0"/>
        <v>-3630.5800000000017</v>
      </c>
      <c r="H31" s="199">
        <f t="shared" si="3"/>
        <v>94.08411275867688</v>
      </c>
      <c r="I31" s="200">
        <f t="shared" si="4"/>
        <v>-67719.58</v>
      </c>
      <c r="J31" s="200">
        <f t="shared" si="5"/>
        <v>46.022541228608546</v>
      </c>
      <c r="K31" s="200">
        <v>52588.89</v>
      </c>
      <c r="L31" s="200">
        <f t="shared" si="1"/>
        <v>5150.529999999999</v>
      </c>
      <c r="M31" s="228">
        <f t="shared" si="2"/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 t="shared" si="6"/>
        <v>-205.9100000000035</v>
      </c>
      <c r="Q31" s="200">
        <f>O31/N31*100</f>
        <v>98.03051171688185</v>
      </c>
      <c r="R31" s="107"/>
      <c r="S31" s="100">
        <f t="shared" si="8"/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 t="shared" si="0"/>
        <v>33.230000000000004</v>
      </c>
      <c r="H33" s="157">
        <f t="shared" si="3"/>
        <v>172.23913043478262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 t="shared" si="6"/>
        <v>-3</v>
      </c>
      <c r="Q33" s="158">
        <f>O33/N33*100</f>
        <v>57.14285714285714</v>
      </c>
      <c r="R33" s="293">
        <v>7</v>
      </c>
      <c r="S33" s="293">
        <f t="shared" si="8"/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3"/>
      <c r="S34" s="293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 t="shared" si="0"/>
        <v>3456.6399999999994</v>
      </c>
      <c r="H35" s="164">
        <f t="shared" si="3"/>
        <v>103.42561421208119</v>
      </c>
      <c r="I35" s="165">
        <f t="shared" si="4"/>
        <v>-90031.76000000001</v>
      </c>
      <c r="J35" s="165">
        <f t="shared" si="5"/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 t="shared" si="6"/>
        <v>1237.3499999999913</v>
      </c>
      <c r="Q35" s="165">
        <f>O35/N35*100</f>
        <v>118.74772727272713</v>
      </c>
      <c r="R35" s="293">
        <v>7700</v>
      </c>
      <c r="S35" s="293">
        <f t="shared" si="8"/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 t="shared" si="0"/>
        <v>268.0600000000013</v>
      </c>
      <c r="H37" s="105">
        <f t="shared" si="3"/>
        <v>101.33896103896105</v>
      </c>
      <c r="I37" s="104">
        <f t="shared" si="4"/>
        <v>-20711.94</v>
      </c>
      <c r="J37" s="104">
        <f t="shared" si="5"/>
        <v>49.483073170731714</v>
      </c>
      <c r="K37" s="127">
        <v>18313.06</v>
      </c>
      <c r="L37" s="127">
        <f t="shared" si="1"/>
        <v>1975</v>
      </c>
      <c r="M37" s="216">
        <f t="shared" si="9"/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 t="shared" si="6"/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 t="shared" si="0"/>
        <v>3190.770000000004</v>
      </c>
      <c r="H38" s="105">
        <f t="shared" si="3"/>
        <v>103.94604254266635</v>
      </c>
      <c r="I38" s="104">
        <f t="shared" si="4"/>
        <v>-69288.33</v>
      </c>
      <c r="J38" s="104">
        <f t="shared" si="5"/>
        <v>54.813658095032515</v>
      </c>
      <c r="K38" s="127">
        <v>54889.45</v>
      </c>
      <c r="L38" s="127">
        <f t="shared" si="1"/>
        <v>29161.320000000007</v>
      </c>
      <c r="M38" s="216">
        <f t="shared" si="9"/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 t="shared" si="6"/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 t="shared" si="1"/>
        <v>4797.800000000007</v>
      </c>
      <c r="M41" s="205">
        <f t="shared" si="9"/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/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 t="shared" si="12"/>
        <v>373.53</v>
      </c>
      <c r="H46" s="164">
        <f t="shared" si="10"/>
        <v>391.8203125</v>
      </c>
      <c r="I46" s="165">
        <f t="shared" si="13"/>
        <v>241.52999999999997</v>
      </c>
      <c r="J46" s="165">
        <f t="shared" si="16"/>
        <v>192.89615384615385</v>
      </c>
      <c r="K46" s="165">
        <v>60.97</v>
      </c>
      <c r="L46" s="165">
        <f t="shared" si="1"/>
        <v>440.55999999999995</v>
      </c>
      <c r="M46" s="218">
        <f t="shared" si="17"/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 t="shared" si="14"/>
        <v>37.26999999999998</v>
      </c>
      <c r="Q46" s="165">
        <f t="shared" si="11"/>
        <v>269.4090909090908</v>
      </c>
      <c r="R46" s="37">
        <v>70</v>
      </c>
      <c r="S46" s="37">
        <f t="shared" si="15"/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 t="shared" si="12"/>
        <v>168.91999999999996</v>
      </c>
      <c r="H48" s="164">
        <f t="shared" si="10"/>
        <v>136.72173913043477</v>
      </c>
      <c r="I48" s="165">
        <f t="shared" si="13"/>
        <v>-101.08000000000004</v>
      </c>
      <c r="J48" s="165">
        <f t="shared" si="16"/>
        <v>86.15342465753425</v>
      </c>
      <c r="K48" s="165">
        <v>168.08</v>
      </c>
      <c r="L48" s="165">
        <f t="shared" si="1"/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 t="shared" si="14"/>
        <v>63.789999999999964</v>
      </c>
      <c r="Q48" s="165">
        <f t="shared" si="11"/>
        <v>206.3166666666666</v>
      </c>
      <c r="R48" s="37">
        <v>100</v>
      </c>
      <c r="S48" s="37">
        <f t="shared" si="15"/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 t="shared" si="12"/>
        <v>2324.3099999999995</v>
      </c>
      <c r="H50" s="164">
        <f t="shared" si="10"/>
        <v>138.4819536423841</v>
      </c>
      <c r="I50" s="165">
        <f t="shared" si="13"/>
        <v>-2635.6900000000005</v>
      </c>
      <c r="J50" s="165">
        <f t="shared" si="16"/>
        <v>76.03918181818182</v>
      </c>
      <c r="K50" s="165">
        <v>5001.06</v>
      </c>
      <c r="L50" s="165">
        <f t="shared" si="1"/>
        <v>3363.249999999999</v>
      </c>
      <c r="M50" s="218">
        <f t="shared" si="17"/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 t="shared" si="14"/>
        <v>1214.039999999999</v>
      </c>
      <c r="Q50" s="165">
        <f t="shared" si="11"/>
        <v>234.89333333333323</v>
      </c>
      <c r="R50" s="37">
        <v>1400</v>
      </c>
      <c r="S50" s="37">
        <f t="shared" si="15"/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 t="shared" si="12"/>
        <v>112.81</v>
      </c>
      <c r="H51" s="164">
        <f t="shared" si="10"/>
        <v>175.20666666666668</v>
      </c>
      <c r="I51" s="165">
        <f t="shared" si="13"/>
        <v>-47.19</v>
      </c>
      <c r="J51" s="165">
        <f t="shared" si="16"/>
        <v>84.77741935483871</v>
      </c>
      <c r="K51" s="165">
        <v>68.92</v>
      </c>
      <c r="L51" s="165">
        <f t="shared" si="1"/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 t="shared" si="14"/>
        <v>21.460000000000008</v>
      </c>
      <c r="Q51" s="165">
        <f t="shared" si="11"/>
        <v>185.84000000000003</v>
      </c>
      <c r="R51" s="37">
        <v>40</v>
      </c>
      <c r="S51" s="37">
        <f t="shared" si="15"/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 t="shared" si="12"/>
        <v>7.719999999999999</v>
      </c>
      <c r="H52" s="164">
        <f t="shared" si="10"/>
        <v>170.18181818181816</v>
      </c>
      <c r="I52" s="165">
        <f t="shared" si="13"/>
        <v>-1.2800000000000011</v>
      </c>
      <c r="J52" s="165">
        <f t="shared" si="16"/>
        <v>93.6</v>
      </c>
      <c r="K52" s="165">
        <v>8.54</v>
      </c>
      <c r="L52" s="165">
        <f t="shared" si="1"/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 t="shared" si="14"/>
        <v>2.3999999999999986</v>
      </c>
      <c r="Q52" s="165">
        <f t="shared" si="11"/>
        <v>159.99999999999997</v>
      </c>
      <c r="R52" s="37">
        <v>4</v>
      </c>
      <c r="S52" s="37">
        <f t="shared" si="15"/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 t="shared" si="12"/>
        <v>-181.57999999999998</v>
      </c>
      <c r="H54" s="164">
        <f t="shared" si="10"/>
        <v>68.1438596491228</v>
      </c>
      <c r="I54" s="165">
        <f t="shared" si="13"/>
        <v>-811.5799999999999</v>
      </c>
      <c r="J54" s="165">
        <f t="shared" si="16"/>
        <v>32.36833333333333</v>
      </c>
      <c r="K54" s="165">
        <v>3094.63</v>
      </c>
      <c r="L54" s="165">
        <f t="shared" si="1"/>
        <v>-2706.21</v>
      </c>
      <c r="M54" s="218">
        <f t="shared" si="17"/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 t="shared" si="14"/>
        <v>-40.099999999999966</v>
      </c>
      <c r="Q54" s="165">
        <f t="shared" si="11"/>
        <v>57.789473684210556</v>
      </c>
      <c r="R54" s="37">
        <v>50</v>
      </c>
      <c r="S54" s="37">
        <f t="shared" si="15"/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 t="shared" si="12"/>
        <v>-147.47000000000003</v>
      </c>
      <c r="H55" s="30">
        <f t="shared" si="10"/>
        <v>69.27708333333332</v>
      </c>
      <c r="I55" s="104">
        <f t="shared" si="13"/>
        <v>-665.47</v>
      </c>
      <c r="J55" s="104">
        <f t="shared" si="16"/>
        <v>33.31963927855711</v>
      </c>
      <c r="K55" s="104">
        <v>420.67</v>
      </c>
      <c r="L55" s="104">
        <f>F55-K55</f>
        <v>-88.14000000000004</v>
      </c>
      <c r="M55" s="109">
        <f t="shared" si="17"/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 t="shared" si="14"/>
        <v>-37.85000000000002</v>
      </c>
      <c r="Q55" s="119">
        <f t="shared" si="11"/>
        <v>52.68749999999998</v>
      </c>
      <c r="R55" s="37"/>
      <c r="S55" s="37">
        <f t="shared" si="15"/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 t="shared" si="12"/>
        <v>-34.26</v>
      </c>
      <c r="H58" s="30">
        <f t="shared" si="10"/>
        <v>61.93333333333334</v>
      </c>
      <c r="I58" s="104">
        <f t="shared" si="13"/>
        <v>-144.26</v>
      </c>
      <c r="J58" s="104">
        <f t="shared" si="16"/>
        <v>27.87</v>
      </c>
      <c r="K58" s="104">
        <v>2673.71</v>
      </c>
      <c r="L58" s="104">
        <f>F58-K58</f>
        <v>-2617.9700000000003</v>
      </c>
      <c r="M58" s="109">
        <f t="shared" si="17"/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 t="shared" si="14"/>
        <v>-2.259999999999998</v>
      </c>
      <c r="Q58" s="119">
        <f t="shared" si="11"/>
        <v>84.93333333333335</v>
      </c>
      <c r="R58" s="37"/>
      <c r="S58" s="37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 t="shared" si="12"/>
        <v>-25.220000000000255</v>
      </c>
      <c r="H60" s="164">
        <f t="shared" si="10"/>
        <v>99.48106995884774</v>
      </c>
      <c r="I60" s="165">
        <f t="shared" si="13"/>
        <v>-2515.2200000000003</v>
      </c>
      <c r="J60" s="165">
        <f t="shared" si="16"/>
        <v>65.77931972789115</v>
      </c>
      <c r="K60" s="165">
        <v>2709.14</v>
      </c>
      <c r="L60" s="165">
        <f aca="true" t="shared" si="18" ref="L60:L66">F60-K60</f>
        <v>2125.64</v>
      </c>
      <c r="M60" s="218">
        <f t="shared" si="17"/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 t="shared" si="14"/>
        <v>197.63999999999987</v>
      </c>
      <c r="Q60" s="165">
        <f t="shared" si="11"/>
        <v>132.93999999999997</v>
      </c>
      <c r="R60" s="37">
        <v>500</v>
      </c>
      <c r="S60" s="37">
        <f t="shared" si="15"/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1081.63</v>
      </c>
      <c r="G62" s="162"/>
      <c r="H62" s="164"/>
      <c r="I62" s="165"/>
      <c r="J62" s="165"/>
      <c r="K62" s="166">
        <v>592.26</v>
      </c>
      <c r="L62" s="165">
        <f t="shared" si="18"/>
        <v>489.3700000000001</v>
      </c>
      <c r="M62" s="218">
        <f t="shared" si="17"/>
        <v>1.826275622192956</v>
      </c>
      <c r="N62" s="195"/>
      <c r="O62" s="179">
        <f>F62-травень!F62</f>
        <v>198.04000000000008</v>
      </c>
      <c r="P62" s="166"/>
      <c r="Q62" s="165"/>
      <c r="R62" s="37"/>
      <c r="S62" s="37">
        <f t="shared" si="15"/>
        <v>198.04000000000008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 t="shared" si="12"/>
        <v>17.78</v>
      </c>
      <c r="H65" s="164">
        <f t="shared" si="10"/>
        <v>333.94736842105266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 t="shared" si="14"/>
        <v>1.8299999999999983</v>
      </c>
      <c r="Q65" s="165">
        <f t="shared" si="11"/>
        <v>252.49999999999994</v>
      </c>
      <c r="R65" s="37">
        <v>3.2</v>
      </c>
      <c r="S65" s="37">
        <f t="shared" si="15"/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 t="shared" si="19"/>
        <v>-8996.28</v>
      </c>
      <c r="H76" s="164">
        <f>F76/E76*100</f>
        <v>0.04133333333333334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 t="shared" si="22"/>
        <v>-4496.41</v>
      </c>
      <c r="Q76" s="167">
        <f>O76/N76*100</f>
        <v>0.0797777777777778</v>
      </c>
      <c r="R76" s="38">
        <v>0</v>
      </c>
      <c r="S76" s="38">
        <f aca="true" t="shared" si="23" ref="S76:S87">O76-R76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 t="shared" si="19"/>
        <v>-14012.85</v>
      </c>
      <c r="H77" s="164">
        <f>F77/E77*100</f>
        <v>10.346449136276393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 t="shared" si="22"/>
        <v>-2287.75</v>
      </c>
      <c r="Q77" s="167">
        <f>O77/N77*100</f>
        <v>36.45138888888889</v>
      </c>
      <c r="R77" s="38">
        <v>200</v>
      </c>
      <c r="S77" s="38">
        <f t="shared" si="23"/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 t="shared" si="19"/>
        <v>-9631.779999999999</v>
      </c>
      <c r="H78" s="164">
        <f>F78/E78*100</f>
        <v>40.544567901234565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 t="shared" si="22"/>
        <v>-1867.1999999999998</v>
      </c>
      <c r="Q78" s="167">
        <f>O78/N78*100</f>
        <v>51.5012987012987</v>
      </c>
      <c r="R78" s="38">
        <v>1500</v>
      </c>
      <c r="S78" s="38">
        <f t="shared" si="23"/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 t="shared" si="19"/>
        <v>-32639.91</v>
      </c>
      <c r="H80" s="186">
        <f>F80/E80*100</f>
        <v>20.070746400235087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 t="shared" si="22"/>
        <v>-8651.36</v>
      </c>
      <c r="Q80" s="187">
        <f>O80/N80*100</f>
        <v>27.609739770730485</v>
      </c>
      <c r="R80" s="39">
        <f>SUM(R76:R79)</f>
        <v>1701</v>
      </c>
      <c r="S80" s="39">
        <f t="shared" si="23"/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 t="shared" si="19"/>
        <v>597.0100000000002</v>
      </c>
      <c r="H83" s="164">
        <f>F83/E83*100</f>
        <v>113.24628355890837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 t="shared" si="23"/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 t="shared" si="23"/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 t="shared" si="22"/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 t="shared" si="24"/>
        <v>1.2854239630240816</v>
      </c>
      <c r="N89" s="192">
        <f>N67+N88</f>
        <v>121252</v>
      </c>
      <c r="O89" s="192">
        <f>O67+O88</f>
        <v>114382.17999999998</v>
      </c>
      <c r="P89" s="194">
        <f t="shared" si="22"/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03"/>
      <c r="P93" s="303"/>
    </row>
    <row r="94" spans="3:16" ht="15">
      <c r="C94" s="81">
        <v>42913</v>
      </c>
      <c r="D94" s="29">
        <v>9872.9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42912</v>
      </c>
      <c r="D95" s="29">
        <v>4876.1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225.52589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 aca="true" t="shared" si="25" ref="K103:P103">K43+K44+K46+K48+K50+K51+K52+K53+K54+K60+K64+K47</f>
        <v>29017.919999999995</v>
      </c>
      <c r="L103" s="29">
        <f t="shared" si="25"/>
        <v>2831.0099999999984</v>
      </c>
      <c r="M103" s="29">
        <f t="shared" si="25"/>
        <v>17.633620466447557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 t="shared" si="25"/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643547.53</v>
      </c>
      <c r="G104" s="29">
        <f t="shared" si="26"/>
        <v>4753.480000000138</v>
      </c>
      <c r="H104" s="230">
        <f>F104/E104</f>
        <v>1.0074330544820573</v>
      </c>
      <c r="I104" s="29">
        <f t="shared" si="26"/>
        <v>-713938.32</v>
      </c>
      <c r="J104" s="230">
        <f>F104/D104</f>
        <v>0.4740712701541837</v>
      </c>
      <c r="K104" s="29">
        <f t="shared" si="26"/>
        <v>29017.919999999995</v>
      </c>
      <c r="L104" s="29">
        <f t="shared" si="26"/>
        <v>2831.0099999999984</v>
      </c>
      <c r="M104" s="29">
        <f t="shared" si="26"/>
        <v>17.633620466447557</v>
      </c>
      <c r="N104" s="29">
        <f t="shared" si="26"/>
        <v>109292</v>
      </c>
      <c r="O104" s="229">
        <f t="shared" si="26"/>
        <v>111080.19999999998</v>
      </c>
      <c r="P104" s="29">
        <f t="shared" si="26"/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-4.07000000010521</v>
      </c>
      <c r="H105" s="230"/>
      <c r="I105" s="29">
        <f t="shared" si="27"/>
        <v>-4.070000000181608</v>
      </c>
      <c r="J105" s="230"/>
      <c r="K105" s="29">
        <f t="shared" si="27"/>
        <v>465768.07</v>
      </c>
      <c r="L105" s="29">
        <f t="shared" si="27"/>
        <v>145931.70999999996</v>
      </c>
      <c r="M105" s="29">
        <f t="shared" si="27"/>
        <v>-16.33295973027756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0.3399999999899137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 t="shared" si="29"/>
        <v>-29919.009999999776</v>
      </c>
      <c r="H124" s="277">
        <f t="shared" si="31"/>
        <v>97.61207127060196</v>
      </c>
      <c r="I124" s="279">
        <f t="shared" si="30"/>
        <v>-1675415.79</v>
      </c>
      <c r="J124" s="279">
        <f t="shared" si="32"/>
        <v>42.19562883559301</v>
      </c>
      <c r="Q124" s="243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207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201</v>
      </c>
      <c r="O3" s="331" t="s">
        <v>202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198</v>
      </c>
      <c r="F4" s="314" t="s">
        <v>33</v>
      </c>
      <c r="G4" s="305" t="s">
        <v>199</v>
      </c>
      <c r="H4" s="316" t="s">
        <v>200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208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204</v>
      </c>
      <c r="L5" s="309"/>
      <c r="M5" s="310"/>
      <c r="N5" s="317"/>
      <c r="O5" s="319"/>
      <c r="P5" s="306"/>
      <c r="Q5" s="307"/>
      <c r="R5" s="311" t="s">
        <v>203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2">
        <v>150</v>
      </c>
      <c r="S15" s="291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2">
        <v>9450</v>
      </c>
      <c r="S19" s="291">
        <f t="shared" si="8"/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 t="shared" si="0"/>
        <v>-3521.5099999999984</v>
      </c>
      <c r="H20" s="195">
        <f t="shared" si="3"/>
        <v>88.12306913996628</v>
      </c>
      <c r="I20" s="254">
        <f t="shared" si="4"/>
        <v>-50371.509999999995</v>
      </c>
      <c r="J20" s="254">
        <f t="shared" si="5"/>
        <v>34.15488888888889</v>
      </c>
      <c r="K20" s="255">
        <v>35230.56</v>
      </c>
      <c r="L20" s="166">
        <f t="shared" si="1"/>
        <v>-9102.069999999996</v>
      </c>
      <c r="M20" s="256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4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 t="shared" si="0"/>
        <v>143.69000000000005</v>
      </c>
      <c r="H21" s="195"/>
      <c r="I21" s="254">
        <f t="shared" si="4"/>
        <v>-6606.3099999999995</v>
      </c>
      <c r="J21" s="254">
        <f t="shared" si="5"/>
        <v>38.258785046728974</v>
      </c>
      <c r="K21" s="255">
        <v>0</v>
      </c>
      <c r="L21" s="166">
        <f t="shared" si="1"/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4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 t="shared" si="0"/>
        <v>-27.079999999999927</v>
      </c>
      <c r="H22" s="195"/>
      <c r="I22" s="254">
        <f t="shared" si="4"/>
        <v>-28027.08</v>
      </c>
      <c r="J22" s="254">
        <f t="shared" si="5"/>
        <v>34.516168224299065</v>
      </c>
      <c r="K22" s="255">
        <v>0</v>
      </c>
      <c r="L22" s="166">
        <f t="shared" si="1"/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4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3">
        <f>R24+R32+R33+R34+R35</f>
        <v>37059</v>
      </c>
      <c r="S23" s="291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3">
        <v>347</v>
      </c>
      <c r="S25" s="291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3">
        <v>14000</v>
      </c>
      <c r="S29" s="291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3">
        <v>22700</v>
      </c>
      <c r="S35" s="291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3"/>
      <c r="P93" s="303"/>
    </row>
    <row r="94" spans="3:16" ht="15">
      <c r="C94" s="81">
        <v>42885</v>
      </c>
      <c r="D94" s="29">
        <v>10664.9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42884</v>
      </c>
      <c r="D95" s="29">
        <v>6919.44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1135.71022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 t="shared" si="29"/>
        <v>-23049.190000000177</v>
      </c>
      <c r="H124" s="277">
        <f t="shared" si="31"/>
        <v>97.96326819055847</v>
      </c>
      <c r="I124" s="279">
        <f t="shared" si="30"/>
        <v>-1789797.9700000002</v>
      </c>
      <c r="J124" s="279">
        <f t="shared" si="32"/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196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191</v>
      </c>
      <c r="O3" s="331" t="s">
        <v>190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187</v>
      </c>
      <c r="F4" s="314" t="s">
        <v>33</v>
      </c>
      <c r="G4" s="305" t="s">
        <v>188</v>
      </c>
      <c r="H4" s="316" t="s">
        <v>189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197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192</v>
      </c>
      <c r="L5" s="309"/>
      <c r="M5" s="310"/>
      <c r="N5" s="317"/>
      <c r="O5" s="319"/>
      <c r="P5" s="306"/>
      <c r="Q5" s="307"/>
      <c r="R5" s="311" t="s">
        <v>193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 t="shared" si="0"/>
        <v>-1920.4199999999983</v>
      </c>
      <c r="H20" s="195">
        <f t="shared" si="3"/>
        <v>91.96476987447699</v>
      </c>
      <c r="I20" s="254">
        <f t="shared" si="4"/>
        <v>-54520.42</v>
      </c>
      <c r="J20" s="254">
        <f t="shared" si="5"/>
        <v>28.73147712418301</v>
      </c>
      <c r="K20" s="255">
        <v>26018.6</v>
      </c>
      <c r="L20" s="166">
        <f t="shared" si="1"/>
        <v>-4039.019999999997</v>
      </c>
      <c r="M20" s="256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4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 t="shared" si="0"/>
        <v>118.94000000000005</v>
      </c>
      <c r="H21" s="195"/>
      <c r="I21" s="254">
        <f t="shared" si="4"/>
        <v>-7581.0599999999995</v>
      </c>
      <c r="J21" s="254">
        <f t="shared" si="5"/>
        <v>29.14897196261682</v>
      </c>
      <c r="K21" s="255">
        <v>0</v>
      </c>
      <c r="L21" s="166">
        <f t="shared" si="1"/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4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 t="shared" si="0"/>
        <v>6.239999999999782</v>
      </c>
      <c r="H22" s="195"/>
      <c r="I22" s="254">
        <f t="shared" si="4"/>
        <v>-31793.760000000002</v>
      </c>
      <c r="J22" s="254">
        <f t="shared" si="5"/>
        <v>25.715514018691586</v>
      </c>
      <c r="K22" s="255">
        <v>0</v>
      </c>
      <c r="L22" s="166">
        <f t="shared" si="1"/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4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3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3"/>
      <c r="P93" s="303"/>
    </row>
    <row r="94" spans="3:16" ht="15">
      <c r="C94" s="81">
        <v>42852</v>
      </c>
      <c r="D94" s="29">
        <v>13266.8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42851</v>
      </c>
      <c r="D95" s="29">
        <v>6064.2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102.57358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 t="shared" si="28"/>
        <v>-15231.915999999968</v>
      </c>
      <c r="H124" s="277">
        <f t="shared" si="30"/>
        <v>98.48512590709952</v>
      </c>
      <c r="I124" s="279">
        <f t="shared" si="29"/>
        <v>-1908165.3960000002</v>
      </c>
      <c r="J124" s="279">
        <f t="shared" si="31"/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0" t="s">
        <v>185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  <c r="T1" s="246"/>
      <c r="U1" s="249"/>
      <c r="V1" s="259"/>
      <c r="W1" s="259"/>
    </row>
    <row r="2" spans="2:23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163</v>
      </c>
      <c r="O3" s="331" t="s">
        <v>164</v>
      </c>
      <c r="P3" s="331"/>
      <c r="Q3" s="331"/>
      <c r="R3" s="331"/>
      <c r="S3" s="331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2"/>
      <c r="B4" s="324"/>
      <c r="C4" s="325"/>
      <c r="D4" s="326"/>
      <c r="E4" s="332" t="s">
        <v>153</v>
      </c>
      <c r="F4" s="314" t="s">
        <v>33</v>
      </c>
      <c r="G4" s="305" t="s">
        <v>162</v>
      </c>
      <c r="H4" s="316" t="s">
        <v>176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186</v>
      </c>
      <c r="P4" s="305" t="s">
        <v>49</v>
      </c>
      <c r="Q4" s="30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169</v>
      </c>
      <c r="L5" s="309"/>
      <c r="M5" s="310"/>
      <c r="N5" s="317"/>
      <c r="O5" s="319"/>
      <c r="P5" s="306"/>
      <c r="Q5" s="307"/>
      <c r="R5" s="308" t="s">
        <v>102</v>
      </c>
      <c r="S5" s="31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47">
        <f aca="true" t="shared" si="8" ref="U10:U42">O10-T10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47">
        <f t="shared" si="8"/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47">
        <f t="shared" si="8"/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47">
        <f t="shared" si="8"/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47"/>
      <c r="U14" s="247">
        <f t="shared" si="8"/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47">
        <f t="shared" si="8"/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47">
        <f t="shared" si="8"/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47">
        <f t="shared" si="8"/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 t="shared" si="0"/>
        <v>-10065.939999999999</v>
      </c>
      <c r="H20" s="195">
        <f t="shared" si="3"/>
        <v>63.79158273381296</v>
      </c>
      <c r="I20" s="254">
        <f t="shared" si="4"/>
        <v>-112265.94</v>
      </c>
      <c r="J20" s="254">
        <f t="shared" si="5"/>
        <v>13.641584615384616</v>
      </c>
      <c r="K20" s="255">
        <v>18270.89</v>
      </c>
      <c r="L20" s="166">
        <f t="shared" si="1"/>
        <v>-536.8299999999981</v>
      </c>
      <c r="M20" s="256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4">
        <f t="shared" si="7"/>
        <v>41.10357142857144</v>
      </c>
      <c r="R20" s="107"/>
      <c r="S20" s="108"/>
      <c r="T20" s="257">
        <v>4250</v>
      </c>
      <c r="U20" s="258">
        <f t="shared" si="8"/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 t="shared" si="0"/>
        <v>2236.79</v>
      </c>
      <c r="H21" s="195"/>
      <c r="I21" s="254">
        <f t="shared" si="4"/>
        <v>2236.79</v>
      </c>
      <c r="J21" s="254"/>
      <c r="K21" s="255">
        <v>0</v>
      </c>
      <c r="L21" s="166">
        <f t="shared" si="1"/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 t="shared" si="0"/>
        <v>7663.01</v>
      </c>
      <c r="H22" s="195"/>
      <c r="I22" s="254">
        <f t="shared" si="4"/>
        <v>7663.01</v>
      </c>
      <c r="J22" s="254"/>
      <c r="K22" s="255">
        <v>0</v>
      </c>
      <c r="L22" s="166">
        <f t="shared" si="1"/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47">
        <f t="shared" si="8"/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47">
        <f t="shared" si="8"/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47">
        <f t="shared" si="8"/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47">
        <f t="shared" si="8"/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 t="shared" si="8"/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47">
        <f t="shared" si="8"/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47">
        <f t="shared" si="8"/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 t="shared" si="8"/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47">
        <f t="shared" si="8"/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47">
        <f t="shared" si="8"/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47">
        <f t="shared" si="8"/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47">
        <f t="shared" si="8"/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47">
        <f t="shared" si="8"/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47">
        <f t="shared" si="8"/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89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3"/>
      <c r="P93" s="303"/>
    </row>
    <row r="94" spans="3:16" ht="15">
      <c r="C94" s="81">
        <v>42824</v>
      </c>
      <c r="D94" s="29">
        <v>11112.7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42823</v>
      </c>
      <c r="D95" s="29">
        <v>8830.3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1399.2856000000002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 aca="true" t="shared" si="26" ref="D113:F114">D114</f>
        <v>1222868.6900000002</v>
      </c>
      <c r="E113" s="244">
        <f t="shared" si="26"/>
        <v>550655.6</v>
      </c>
      <c r="F113" s="244">
        <f t="shared" si="26"/>
        <v>545829.08</v>
      </c>
      <c r="G113" s="244">
        <f aca="true" t="shared" si="27" ref="G113:G124">F113-E113</f>
        <v>-4826.520000000019</v>
      </c>
      <c r="H113" s="244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 t="shared" si="26"/>
        <v>1222868.6900000002</v>
      </c>
      <c r="E114" s="244">
        <f t="shared" si="26"/>
        <v>550655.6</v>
      </c>
      <c r="F114" s="244">
        <f t="shared" si="26"/>
        <v>545829.08</v>
      </c>
      <c r="G114" s="244">
        <f t="shared" si="27"/>
        <v>-4826.520000000019</v>
      </c>
      <c r="H114" s="244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7"/>
        <v>-4826.520000000019</v>
      </c>
      <c r="H115" s="244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7"/>
        <v>-3734.029999999999</v>
      </c>
      <c r="H116" s="244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7"/>
        <v>-707.6699999999837</v>
      </c>
      <c r="H117" s="244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7"/>
        <v>-16.159999999999997</v>
      </c>
      <c r="H118" s="244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7"/>
        <v>0</v>
      </c>
      <c r="H119" s="244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7"/>
        <v>0</v>
      </c>
      <c r="H120" s="244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7"/>
        <v>-460.1399999999999</v>
      </c>
      <c r="H121" s="244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7"/>
        <v>165.7</v>
      </c>
      <c r="H122" s="244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7"/>
        <v>-74.22000000000003</v>
      </c>
      <c r="H123" s="244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 t="shared" si="27"/>
        <v>-10300.850000000093</v>
      </c>
      <c r="H124" s="277">
        <f t="shared" si="29"/>
        <v>98.83929802661113</v>
      </c>
      <c r="I124" s="279">
        <f t="shared" si="28"/>
        <v>-2021257.6300000001</v>
      </c>
      <c r="J124" s="279">
        <f t="shared" si="30"/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0" t="s">
        <v>151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144</v>
      </c>
      <c r="O3" s="331" t="s">
        <v>148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149</v>
      </c>
      <c r="F4" s="314" t="s">
        <v>33</v>
      </c>
      <c r="G4" s="305" t="s">
        <v>145</v>
      </c>
      <c r="H4" s="316" t="s">
        <v>146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152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147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3"/>
      <c r="P90" s="303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42790</v>
      </c>
      <c r="D92" s="29">
        <v>4206.9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v>7713.34596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0" t="s">
        <v>143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134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123</v>
      </c>
      <c r="O3" s="331" t="s">
        <v>118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135</v>
      </c>
      <c r="F4" s="314" t="s">
        <v>33</v>
      </c>
      <c r="G4" s="305" t="s">
        <v>136</v>
      </c>
      <c r="H4" s="316" t="s">
        <v>137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124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142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3"/>
      <c r="P90" s="303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42762</v>
      </c>
      <c r="D92" s="29">
        <v>8862.4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9505303.41/1000</f>
        <v>9505.30341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6" sqref="J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0" t="s">
        <v>132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126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129</v>
      </c>
      <c r="O3" s="331" t="s">
        <v>125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127</v>
      </c>
      <c r="F4" s="314" t="s">
        <v>33</v>
      </c>
      <c r="G4" s="305" t="s">
        <v>128</v>
      </c>
      <c r="H4" s="316" t="s">
        <v>122</v>
      </c>
      <c r="I4" s="305" t="s">
        <v>103</v>
      </c>
      <c r="J4" s="316" t="s">
        <v>104</v>
      </c>
      <c r="K4" s="85" t="s">
        <v>114</v>
      </c>
      <c r="L4" s="204" t="s">
        <v>113</v>
      </c>
      <c r="M4" s="90" t="s">
        <v>63</v>
      </c>
      <c r="N4" s="316"/>
      <c r="O4" s="318" t="s">
        <v>133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130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3"/>
      <c r="P90" s="303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42732</v>
      </c>
      <c r="D92" s="29">
        <v>19085.6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'[1]залишки  (2)'!$G$6/1000</f>
        <v>0.19858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2017-07-04T12:11:01Z</cp:lastPrinted>
  <dcterms:created xsi:type="dcterms:W3CDTF">2003-07-28T11:27:56Z</dcterms:created>
  <dcterms:modified xsi:type="dcterms:W3CDTF">2017-07-04T13:03:43Z</dcterms:modified>
  <cp:category/>
  <cp:version/>
  <cp:contentType/>
  <cp:contentStatus/>
</cp:coreProperties>
</file>